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Google Drive\Trabalhos\Negócios\Contabilidade TI\Biz\2018\"/>
    </mc:Choice>
  </mc:AlternateContent>
  <xr:revisionPtr revIDLastSave="0" documentId="13_ncr:1_{B81957DE-2363-4901-B68D-957E94D3866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Parametros" sheetId="1" r:id="rId1"/>
    <sheet name="LEIA-ME" sheetId="6" r:id="rId2"/>
    <sheet name="Histórico 12 Meses" sheetId="5" r:id="rId3"/>
    <sheet name="Variáveis PJ e PF" sheetId="2" r:id="rId4"/>
  </sheets>
  <definedNames>
    <definedName name="impostoTotal">'Variáveis PJ e PF'!$F$20</definedName>
    <definedName name="InssPatronal">Parametros!$B$11</definedName>
    <definedName name="inssTeto">Parametros!$B$12</definedName>
    <definedName name="rendTributaveis">'Variáveis PJ e PF'!$B$17</definedName>
    <definedName name="rendTributaveis2019">'Variáveis PJ e PF'!$B$25</definedName>
    <definedName name="salarioMinimo">Parametros!$B$10</definedName>
    <definedName name="solver_adj" localSheetId="3" hidden="1">'Variáveis PJ e PF'!$C$4:$Y$4</definedName>
    <definedName name="solver_cvg" localSheetId="3" hidden="1">0.0001</definedName>
    <definedName name="solver_drv" localSheetId="3" hidden="1">1</definedName>
    <definedName name="solver_eng" localSheetId="3" hidden="1">2</definedName>
    <definedName name="solver_est" localSheetId="3" hidden="1">1</definedName>
    <definedName name="solver_itr" localSheetId="3" hidden="1">2147483647</definedName>
    <definedName name="solver_lhs1" localSheetId="3" hidden="1">'Variáveis PJ e PF'!$C$4</definedName>
    <definedName name="solver_lhs2" localSheetId="3" hidden="1">'Variáveis PJ e PF'!$D$4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3" hidden="1">1</definedName>
    <definedName name="solver_nod" localSheetId="3" hidden="1">2147483647</definedName>
    <definedName name="solver_num" localSheetId="3" hidden="1">2</definedName>
    <definedName name="solver_nwt" localSheetId="3" hidden="1">1</definedName>
    <definedName name="solver_opt" localSheetId="3" hidden="1">'Variáveis PJ e PF'!$F$20</definedName>
    <definedName name="solver_pre" localSheetId="3" hidden="1">0.000001</definedName>
    <definedName name="solver_rbv" localSheetId="3" hidden="1">1</definedName>
    <definedName name="solver_rel1" localSheetId="3" hidden="1">3</definedName>
    <definedName name="solver_rel2" localSheetId="3" hidden="1">3</definedName>
    <definedName name="solver_rhs1" localSheetId="3" hidden="1">965</definedName>
    <definedName name="solver_rhs2" localSheetId="3" hidden="1">965</definedName>
    <definedName name="solver_rlx" localSheetId="3" hidden="1">2</definedName>
    <definedName name="solver_rsd" localSheetId="3" hidden="1">0</definedName>
    <definedName name="solver_scl" localSheetId="3" hidden="1">1</definedName>
    <definedName name="solver_sho" localSheetId="3" hidden="1">1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3" hidden="1">2</definedName>
    <definedName name="solver_val" localSheetId="3" hidden="1">0</definedName>
    <definedName name="solver_ver" localSheetId="3" hidden="1">3</definedName>
    <definedName name="tabelaIRPF">Parametros!$A$1:$C$8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2" l="1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C6" i="5"/>
  <c r="D6" i="5"/>
  <c r="E6" i="5"/>
  <c r="F6" i="5"/>
  <c r="G6" i="5"/>
  <c r="H6" i="5"/>
  <c r="I6" i="5"/>
  <c r="J6" i="5"/>
  <c r="K6" i="5"/>
  <c r="L6" i="5"/>
  <c r="M6" i="5"/>
  <c r="B6" i="5"/>
  <c r="B6" i="2"/>
  <c r="E5" i="2" l="1"/>
  <c r="E11" i="2" s="1"/>
  <c r="D5" i="2"/>
  <c r="D11" i="2" s="1"/>
  <c r="I5" i="2"/>
  <c r="I11" i="2" s="1"/>
  <c r="F5" i="2"/>
  <c r="F11" i="2" s="1"/>
  <c r="G5" i="2"/>
  <c r="G11" i="2" s="1"/>
  <c r="H5" i="2"/>
  <c r="H11" i="2" s="1"/>
  <c r="J5" i="2"/>
  <c r="J11" i="2" s="1"/>
  <c r="K5" i="2"/>
  <c r="K11" i="2" s="1"/>
  <c r="L5" i="2"/>
  <c r="L11" i="2" s="1"/>
  <c r="M5" i="2"/>
  <c r="M11" i="2" s="1"/>
  <c r="N5" i="2"/>
  <c r="O5" i="2"/>
  <c r="O11" i="2" s="1"/>
  <c r="P5" i="2"/>
  <c r="P11" i="2" s="1"/>
  <c r="Q5" i="2"/>
  <c r="Q11" i="2" s="1"/>
  <c r="R5" i="2"/>
  <c r="R11" i="2" s="1"/>
  <c r="S5" i="2"/>
  <c r="S11" i="2" s="1"/>
  <c r="T5" i="2"/>
  <c r="T11" i="2" s="1"/>
  <c r="U5" i="2"/>
  <c r="U11" i="2" s="1"/>
  <c r="V5" i="2"/>
  <c r="V11" i="2" s="1"/>
  <c r="W5" i="2"/>
  <c r="W11" i="2" s="1"/>
  <c r="X5" i="2"/>
  <c r="X11" i="2" s="1"/>
  <c r="Y5" i="2"/>
  <c r="Y11" i="2" s="1"/>
  <c r="C5" i="2"/>
  <c r="C11" i="2" s="1"/>
  <c r="B5" i="2"/>
  <c r="B11" i="2" s="1"/>
  <c r="B17" i="2" l="1"/>
  <c r="B25" i="2"/>
  <c r="N11" i="2"/>
  <c r="M3" i="2" l="1"/>
  <c r="C5" i="5"/>
  <c r="D5" i="5"/>
  <c r="E5" i="5"/>
  <c r="F5" i="5"/>
  <c r="G5" i="5"/>
  <c r="H5" i="5"/>
  <c r="I5" i="5"/>
  <c r="J5" i="5"/>
  <c r="K5" i="5"/>
  <c r="L5" i="5"/>
  <c r="M5" i="5"/>
  <c r="B5" i="5"/>
  <c r="J3" i="2"/>
  <c r="E3" i="2"/>
  <c r="F3" i="2"/>
  <c r="G3" i="2"/>
  <c r="H3" i="2"/>
  <c r="I3" i="2"/>
  <c r="K3" i="2"/>
  <c r="L3" i="2"/>
  <c r="O3" i="2"/>
  <c r="P3" i="2"/>
  <c r="Q3" i="2"/>
  <c r="R3" i="2"/>
  <c r="S3" i="2"/>
  <c r="T3" i="2"/>
  <c r="U3" i="2"/>
  <c r="V3" i="2"/>
  <c r="W3" i="2"/>
  <c r="X3" i="2"/>
  <c r="Y3" i="2"/>
  <c r="N3" i="2"/>
  <c r="D3" i="2"/>
  <c r="C3" i="2"/>
  <c r="B3" i="2"/>
  <c r="B7" i="2" l="1"/>
  <c r="C7" i="2"/>
  <c r="B27" i="2"/>
  <c r="B19" i="2"/>
  <c r="Q7" i="2" l="1"/>
  <c r="F19" i="2"/>
  <c r="R7" i="2"/>
  <c r="V7" i="2"/>
  <c r="Y7" i="2"/>
  <c r="S7" i="2"/>
  <c r="W7" i="2"/>
  <c r="T7" i="2"/>
  <c r="X7" i="2"/>
  <c r="U7" i="2"/>
  <c r="G7" i="2"/>
  <c r="D7" i="2"/>
  <c r="L7" i="2"/>
  <c r="E7" i="2"/>
  <c r="F7" i="2"/>
  <c r="B26" i="2"/>
  <c r="B29" i="2" s="1"/>
  <c r="C8" i="2"/>
  <c r="C9" i="2" s="1"/>
  <c r="C10" i="2" s="1"/>
  <c r="B8" i="2"/>
  <c r="B9" i="2" s="1"/>
  <c r="B10" i="2" s="1"/>
  <c r="B18" i="2"/>
  <c r="B21" i="2" s="1"/>
  <c r="N7" i="2" l="1"/>
  <c r="I7" i="2"/>
  <c r="O7" i="2"/>
  <c r="H7" i="2"/>
  <c r="M7" i="2"/>
  <c r="J7" i="2"/>
  <c r="K7" i="2"/>
  <c r="P7" i="2"/>
  <c r="F17" i="2"/>
  <c r="E8" i="2" l="1"/>
  <c r="E9" i="2" s="1"/>
  <c r="E10" i="2" s="1"/>
  <c r="D8" i="2"/>
  <c r="D9" i="2" s="1"/>
  <c r="D10" i="2" s="1"/>
  <c r="N8" i="2"/>
  <c r="N9" i="2" s="1"/>
  <c r="N10" i="2" s="1"/>
  <c r="O8" i="2"/>
  <c r="O9" i="2" s="1"/>
  <c r="O10" i="2" s="1"/>
  <c r="F8" i="2"/>
  <c r="F9" i="2" s="1"/>
  <c r="F10" i="2" s="1"/>
  <c r="P8" i="2" l="1"/>
  <c r="P9" i="2" s="1"/>
  <c r="P10" i="2" s="1"/>
  <c r="G8" i="2"/>
  <c r="G9" i="2" s="1"/>
  <c r="G10" i="2" s="1"/>
  <c r="Q8" i="2" l="1"/>
  <c r="Q9" i="2" s="1"/>
  <c r="Q10" i="2" s="1"/>
  <c r="H8" i="2"/>
  <c r="H9" i="2" s="1"/>
  <c r="H10" i="2" s="1"/>
  <c r="R8" i="2" l="1"/>
  <c r="R9" i="2" s="1"/>
  <c r="R10" i="2" s="1"/>
  <c r="I8" i="2"/>
  <c r="I9" i="2" s="1"/>
  <c r="I10" i="2" s="1"/>
  <c r="S8" i="2" l="1"/>
  <c r="S9" i="2" s="1"/>
  <c r="S10" i="2" s="1"/>
  <c r="J8" i="2"/>
  <c r="J9" i="2" s="1"/>
  <c r="J10" i="2" s="1"/>
  <c r="T8" i="2" l="1"/>
  <c r="T9" i="2" s="1"/>
  <c r="T10" i="2" s="1"/>
  <c r="K8" i="2"/>
  <c r="K9" i="2" s="1"/>
  <c r="K10" i="2" s="1"/>
  <c r="U8" i="2" l="1"/>
  <c r="U9" i="2" s="1"/>
  <c r="U10" i="2" s="1"/>
  <c r="M8" i="2"/>
  <c r="M9" i="2" s="1"/>
  <c r="M10" i="2" s="1"/>
  <c r="L8" i="2"/>
  <c r="L9" i="2" s="1"/>
  <c r="L10" i="2" s="1"/>
  <c r="V8" i="2" l="1"/>
  <c r="V9" i="2" s="1"/>
  <c r="V10" i="2" s="1"/>
  <c r="W8" i="2" l="1"/>
  <c r="W9" i="2" s="1"/>
  <c r="W10" i="2" s="1"/>
  <c r="Y8" i="2" l="1"/>
  <c r="Y9" i="2" s="1"/>
  <c r="Y10" i="2" s="1"/>
  <c r="X8" i="2"/>
  <c r="X9" i="2" s="1"/>
  <c r="X10" i="2" s="1"/>
  <c r="F18" i="2" l="1"/>
  <c r="F20" i="2" l="1"/>
  <c r="G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André Aranha</author>
  </authors>
  <commentList>
    <comment ref="A2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André Aranha:</t>
        </r>
        <r>
          <rPr>
            <sz val="9"/>
            <color indexed="81"/>
            <rFont val="Segoe UI"/>
            <family val="2"/>
          </rPr>
          <t xml:space="preserve">
Preencher com o salário bruto do profissional PJ.</t>
        </r>
      </text>
    </comment>
    <comment ref="A4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André Aranha:</t>
        </r>
        <r>
          <rPr>
            <sz val="9"/>
            <color indexed="81"/>
            <rFont val="Segoe UI"/>
            <family val="2"/>
          </rPr>
          <t xml:space="preserve">
Preencher com o valor declarado a título de Pró Labore</t>
        </r>
      </text>
    </comment>
    <comment ref="A11" authorId="0" shapeId="0" xr:uid="{00000000-0006-0000-0300-000003000000}">
      <text>
        <r>
          <rPr>
            <b/>
            <sz val="9"/>
            <color indexed="81"/>
            <rFont val="Segoe UI"/>
            <family val="2"/>
          </rPr>
          <t>André Aranha:</t>
        </r>
        <r>
          <rPr>
            <sz val="9"/>
            <color indexed="81"/>
            <rFont val="Segoe UI"/>
            <family val="2"/>
          </rPr>
          <t xml:space="preserve">
IR retido na fonte. Esse valor tende a ser devolvido à pessoa física na restituição.
Porém, </t>
        </r>
        <r>
          <rPr>
            <b/>
            <sz val="9"/>
            <color indexed="81"/>
            <rFont val="Segoe UI"/>
            <family val="2"/>
          </rPr>
          <t xml:space="preserve">precisa ser desembolsado </t>
        </r>
        <r>
          <rPr>
            <sz val="9"/>
            <color indexed="81"/>
            <rFont val="Segoe UI"/>
            <family val="2"/>
          </rPr>
          <t xml:space="preserve">pela empresa. Isso pode gerar um problema sério de fluxo de caixa. </t>
        </r>
        <r>
          <rPr>
            <b/>
            <sz val="10"/>
            <color indexed="81"/>
            <rFont val="Segoe UI"/>
            <family val="2"/>
          </rPr>
          <t>Deixar claro para o cliente!</t>
        </r>
      </text>
    </comment>
  </commentList>
</comments>
</file>

<file path=xl/sharedStrings.xml><?xml version="1.0" encoding="utf-8"?>
<sst xmlns="http://schemas.openxmlformats.org/spreadsheetml/2006/main" count="58" uniqueCount="46">
  <si>
    <t>Valor Teto</t>
  </si>
  <si>
    <t>Alíquota</t>
  </si>
  <si>
    <t>Tabela IRPF</t>
  </si>
  <si>
    <t>Salário Mínimo:</t>
  </si>
  <si>
    <t>Desconto</t>
  </si>
  <si>
    <t>Mês</t>
  </si>
  <si>
    <t>Pró Labore</t>
  </si>
  <si>
    <t>INSS</t>
  </si>
  <si>
    <t>INSS Patronal:</t>
  </si>
  <si>
    <t>Fat. 12 Meses</t>
  </si>
  <si>
    <t>FP 12 Meses</t>
  </si>
  <si>
    <t>fator "r"</t>
  </si>
  <si>
    <t>IRPF Base 2018</t>
  </si>
  <si>
    <t>Rend Tributáveis</t>
  </si>
  <si>
    <t>Alíquota IR</t>
  </si>
  <si>
    <t>Parcela Deduzir IR</t>
  </si>
  <si>
    <t>Despesas Dedutíveis IRPF</t>
  </si>
  <si>
    <t>Descrição</t>
  </si>
  <si>
    <t>Limite / ano</t>
  </si>
  <si>
    <t>Dependentes</t>
  </si>
  <si>
    <t>Instrução</t>
  </si>
  <si>
    <t>Saúde</t>
  </si>
  <si>
    <t>PGBL</t>
  </si>
  <si>
    <t>Faturamento PJ</t>
  </si>
  <si>
    <t>IRPF a Pagar</t>
  </si>
  <si>
    <t>Alíquota Simples</t>
  </si>
  <si>
    <t>Imposto Simples</t>
  </si>
  <si>
    <t>PF</t>
  </si>
  <si>
    <t>PJ</t>
  </si>
  <si>
    <t>Total</t>
  </si>
  <si>
    <t>IRPF Base 2019</t>
  </si>
  <si>
    <t>Impostos Totais 18/19</t>
  </si>
  <si>
    <t>Despesas Dedutíveis</t>
  </si>
  <si>
    <t>FP Mês</t>
  </si>
  <si>
    <t>Log de alterações</t>
  </si>
  <si>
    <t>Planilha de balizamento do Fator "r" - Simples Nacional 2018</t>
  </si>
  <si>
    <t>Como Usar</t>
  </si>
  <si>
    <t>Primeira edição</t>
  </si>
  <si>
    <t xml:space="preserve"> - Correção do cálculo do fator "r". Considerar os "12 meses anteriores à apuração", SEM incluir o mês e apuração propriamente dito:
 - Folha de rosto / Leia-me
 - Sinalizador colorido para o fator "r"</t>
  </si>
  <si>
    <t xml:space="preserve"> - Inclusão do INSS na somatória dos impostos</t>
  </si>
  <si>
    <t>IRRF</t>
  </si>
  <si>
    <t>Teto INSS Patr:</t>
  </si>
  <si>
    <r>
      <t xml:space="preserve"> - Passo 1: Preencha a aba </t>
    </r>
    <r>
      <rPr>
        <b/>
        <sz val="11"/>
        <color theme="1"/>
        <rFont val="Calibri"/>
        <family val="2"/>
        <scheme val="minor"/>
      </rPr>
      <t>"Histórico 12 Meses"</t>
    </r>
    <r>
      <rPr>
        <sz val="11"/>
        <color theme="1"/>
        <rFont val="Calibri"/>
        <family val="2"/>
        <scheme val="minor"/>
      </rPr>
      <t xml:space="preserve"> com os números de faturamento e folha de pagamento do cliente no ano de 2017;
 - Passo 2: Na aba </t>
    </r>
    <r>
      <rPr>
        <b/>
        <sz val="11"/>
        <color theme="1"/>
        <rFont val="Calibri"/>
        <family val="2"/>
        <scheme val="minor"/>
      </rPr>
      <t>"Variáveis PJ"</t>
    </r>
    <r>
      <rPr>
        <sz val="11"/>
        <color theme="1"/>
        <rFont val="Calibri"/>
        <family val="2"/>
        <scheme val="minor"/>
      </rPr>
      <t xml:space="preserve">, insira os números de faturamento e previsão de faturamento para os anos de 2018 e 2019, deixando a linha "Pró Labore" em branco por enquanto;
 - Passo 3: No quadro </t>
    </r>
    <r>
      <rPr>
        <b/>
        <sz val="11"/>
        <color theme="1"/>
        <rFont val="Calibri"/>
        <family val="2"/>
        <scheme val="minor"/>
      </rPr>
      <t>"Impostos Totais 18/19"</t>
    </r>
    <r>
      <rPr>
        <sz val="11"/>
        <color theme="1"/>
        <rFont val="Calibri"/>
        <family val="2"/>
        <scheme val="minor"/>
      </rPr>
      <t xml:space="preserve">, note qual o imposto total a ser pago pelo cliente nesses dois anos, e anote o número em algum lugar. Depois usaremos para saber quanto economizamos de imposto;
 - Passo 4: Nos primeiros meses (futuros) insira valores altos de pró-labore, suficientes para elevar o fator "r" até 28%, e nos meses seguintes insira valores que façam o fator "r" ficar estabilizado durante todo o período.
 - Passo 5: Faça simulações e alterações até achar o menor valor possível no quadro "Impostos Totais 18/19". Não esqueça que as despesas dedutíveis do IRPF podem reduzir ainda mais esse valor. Cuidado com os desembolsos de IRRF;
 - Passo 6: Revise toda a planilha e certifique-se de que o fator "r" </t>
    </r>
    <r>
      <rPr>
        <sz val="11"/>
        <color rgb="FFFF0000"/>
        <rFont val="Calibri"/>
        <family val="2"/>
        <scheme val="minor"/>
      </rPr>
      <t>JAMAIS esteja abaixo de 28%</t>
    </r>
    <r>
      <rPr>
        <sz val="11"/>
        <color theme="1"/>
        <rFont val="Calibri"/>
        <family val="2"/>
        <scheme val="minor"/>
      </rPr>
      <t>;
 - Passo 6: à medida que o tempo passa, vá aumentando à planilha para os anos seguintes.</t>
    </r>
  </si>
  <si>
    <t xml:space="preserve"> - Inclusão do teto do INSS no cálculo
 - Inclusão da linha "IRRF" na simulação.
 - Subtrai o valor do INSS dos rendimentos tributáveis (IRPF)</t>
  </si>
  <si>
    <t xml:space="preserve"> - Correção: Não somar INSS no fator "r" e FP, pois é um desconto do pró labore</t>
  </si>
  <si>
    <r>
      <rPr>
        <b/>
        <sz val="20"/>
        <color theme="1"/>
        <rFont val="Calibri"/>
        <family val="2"/>
        <scheme val="minor"/>
      </rPr>
      <t>Versão 1.1.2</t>
    </r>
    <r>
      <rPr>
        <sz val="17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(04/03/2018)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</si>
</sst>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FF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0"/>
      <color indexed="8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9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</cellStyleXfs>
  <cellXfs count="47">
    <xf numFmtId="0" fontId="0" fillId="0" borderId="0" xfId="0"/>
    <xf numFmtId="10" fontId="0" fillId="0" borderId="0" xfId="0" applyNumberFormat="1" applyAlignment="1">
      <alignment horizontal="right"/>
    </xf>
    <xf numFmtId="10" fontId="0" fillId="0" borderId="0" xfId="0" applyNumberFormat="1" applyAlignment="1">
      <alignment horizontal="left"/>
    </xf>
    <xf numFmtId="4" fontId="1" fillId="0" borderId="0" xfId="2" applyNumberFormat="1" applyFill="1" applyBorder="1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2" fillId="6" borderId="0" xfId="5" applyFont="1"/>
    <xf numFmtId="4" fontId="1" fillId="7" borderId="0" xfId="6" applyNumberFormat="1" applyAlignment="1">
      <alignment horizontal="right"/>
    </xf>
    <xf numFmtId="40" fontId="1" fillId="5" borderId="0" xfId="4" applyNumberFormat="1"/>
    <xf numFmtId="10" fontId="1" fillId="7" borderId="0" xfId="6" applyNumberFormat="1" applyAlignment="1">
      <alignment horizontal="right"/>
    </xf>
    <xf numFmtId="0" fontId="2" fillId="2" borderId="0" xfId="1" applyFont="1" applyAlignment="1">
      <alignment vertical="center"/>
    </xf>
    <xf numFmtId="17" fontId="2" fillId="2" borderId="0" xfId="1" applyNumberFormat="1" applyFont="1" applyAlignment="1">
      <alignment vertical="center"/>
    </xf>
    <xf numFmtId="0" fontId="0" fillId="0" borderId="0" xfId="0" applyAlignment="1">
      <alignment vertical="center"/>
    </xf>
    <xf numFmtId="40" fontId="2" fillId="2" borderId="0" xfId="1" applyNumberFormat="1" applyFont="1" applyAlignment="1">
      <alignment vertical="center"/>
    </xf>
    <xf numFmtId="40" fontId="0" fillId="0" borderId="0" xfId="0" applyNumberFormat="1" applyAlignment="1">
      <alignment vertical="center"/>
    </xf>
    <xf numFmtId="4" fontId="1" fillId="8" borderId="0" xfId="7" applyNumberFormat="1" applyAlignment="1">
      <alignment vertical="center"/>
    </xf>
    <xf numFmtId="0" fontId="2" fillId="4" borderId="0" xfId="3" applyFont="1" applyAlignment="1">
      <alignment vertical="center"/>
    </xf>
    <xf numFmtId="10" fontId="1" fillId="5" borderId="0" xfId="4" applyNumberFormat="1" applyAlignment="1">
      <alignment vertical="center"/>
    </xf>
    <xf numFmtId="40" fontId="1" fillId="9" borderId="1" xfId="2" applyNumberFormat="1" applyFill="1" applyBorder="1" applyAlignment="1">
      <alignment vertical="center"/>
    </xf>
    <xf numFmtId="4" fontId="1" fillId="9" borderId="1" xfId="2" applyNumberFormat="1" applyFill="1" applyBorder="1" applyAlignment="1">
      <alignment vertical="center"/>
    </xf>
    <xf numFmtId="4" fontId="1" fillId="5" borderId="0" xfId="4" applyNumberFormat="1" applyAlignment="1">
      <alignment vertical="center"/>
    </xf>
    <xf numFmtId="40" fontId="1" fillId="5" borderId="0" xfId="4" applyNumberFormat="1" applyAlignment="1">
      <alignment vertical="center"/>
    </xf>
    <xf numFmtId="0" fontId="2" fillId="2" borderId="0" xfId="1" applyFont="1" applyBorder="1" applyAlignment="1">
      <alignment vertical="center"/>
    </xf>
    <xf numFmtId="10" fontId="7" fillId="8" borderId="0" xfId="7" applyNumberFormat="1" applyFont="1"/>
    <xf numFmtId="40" fontId="7" fillId="8" borderId="0" xfId="7" applyNumberFormat="1" applyFont="1"/>
    <xf numFmtId="164" fontId="1" fillId="8" borderId="0" xfId="7" applyNumberFormat="1" applyAlignment="1">
      <alignment vertical="center"/>
    </xf>
    <xf numFmtId="0" fontId="2" fillId="4" borderId="0" xfId="3" applyFont="1"/>
    <xf numFmtId="0" fontId="2" fillId="4" borderId="2" xfId="3" applyFont="1" applyBorder="1"/>
    <xf numFmtId="40" fontId="3" fillId="5" borderId="3" xfId="4" applyNumberFormat="1" applyFont="1" applyBorder="1"/>
    <xf numFmtId="164" fontId="1" fillId="9" borderId="1" xfId="2" applyNumberFormat="1" applyFill="1" applyBorder="1" applyAlignment="1">
      <alignment vertical="center"/>
    </xf>
    <xf numFmtId="0" fontId="0" fillId="9" borderId="0" xfId="0" applyFill="1" applyBorder="1"/>
    <xf numFmtId="0" fontId="0" fillId="9" borderId="0" xfId="0" applyFill="1" applyBorder="1" applyAlignment="1">
      <alignment vertical="center"/>
    </xf>
    <xf numFmtId="0" fontId="0" fillId="0" borderId="0" xfId="0" applyAlignment="1">
      <alignment wrapText="1"/>
    </xf>
    <xf numFmtId="0" fontId="1" fillId="10" borderId="0" xfId="8" applyAlignment="1">
      <alignment vertical="center"/>
    </xf>
    <xf numFmtId="14" fontId="0" fillId="0" borderId="0" xfId="0" applyNumberFormat="1" applyAlignment="1">
      <alignment vertical="center"/>
    </xf>
    <xf numFmtId="40" fontId="7" fillId="11" borderId="0" xfId="7" applyNumberFormat="1" applyFont="1" applyFill="1"/>
    <xf numFmtId="10" fontId="3" fillId="5" borderId="4" xfId="4" applyNumberFormat="1" applyFont="1" applyBorder="1"/>
    <xf numFmtId="0" fontId="5" fillId="6" borderId="0" xfId="5" applyFont="1" applyAlignment="1">
      <alignment horizontal="center"/>
    </xf>
    <xf numFmtId="0" fontId="6" fillId="6" borderId="0" xfId="5" applyFont="1" applyAlignment="1">
      <alignment horizontal="center"/>
    </xf>
    <xf numFmtId="0" fontId="0" fillId="9" borderId="0" xfId="0" applyFill="1" applyAlignment="1">
      <alignment horizontal="center" wrapText="1"/>
    </xf>
    <xf numFmtId="0" fontId="5" fillId="2" borderId="0" xfId="1" applyFont="1" applyAlignment="1">
      <alignment horizontal="center" vertical="center"/>
    </xf>
    <xf numFmtId="0" fontId="0" fillId="9" borderId="0" xfId="0" applyFill="1" applyAlignment="1">
      <alignment horizontal="center"/>
    </xf>
    <xf numFmtId="0" fontId="13" fillId="2" borderId="0" xfId="1" applyFont="1" applyAlignment="1">
      <alignment horizontal="center" vertical="center"/>
    </xf>
    <xf numFmtId="0" fontId="11" fillId="3" borderId="0" xfId="2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6" fillId="4" borderId="0" xfId="3" applyFont="1" applyAlignment="1">
      <alignment horizontal="center" vertical="center"/>
    </xf>
  </cellXfs>
  <cellStyles count="9">
    <cellStyle name="20% - Ênfase1" xfId="2" builtinId="30"/>
    <cellStyle name="20% - Ênfase2" xfId="4" builtinId="34"/>
    <cellStyle name="20% - Ênfase3" xfId="6" builtinId="38"/>
    <cellStyle name="40% - Ênfase3" xfId="7" builtinId="39"/>
    <cellStyle name="60% - Ênfase1" xfId="8" builtinId="32"/>
    <cellStyle name="Ênfase1" xfId="1" builtinId="29"/>
    <cellStyle name="Ênfase2" xfId="3" builtinId="33"/>
    <cellStyle name="Ênfase3" xfId="5" builtinId="37"/>
    <cellStyle name="Normal" xfId="0" builtinId="0"/>
  </cellStyles>
  <dxfs count="6">
    <dxf>
      <font>
        <color theme="0"/>
      </font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14" formatCode="0.00%"/>
      <alignment horizontal="right" vertical="bottom" textRotation="0" wrapText="0" indent="0" justifyLastLine="0" shrinkToFit="0" readingOrder="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247650</xdr:rowOff>
    </xdr:from>
    <xdr:to>
      <xdr:col>0</xdr:col>
      <xdr:colOff>942975</xdr:colOff>
      <xdr:row>2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BCBC39E-CA71-4471-BF7C-2E1FDA61C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47650"/>
          <a:ext cx="838200" cy="838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8" totalsRowShown="0">
  <autoFilter ref="A2:C8" xr:uid="{00000000-0009-0000-0100-000001000000}"/>
  <tableColumns count="3">
    <tableColumn id="1" xr3:uid="{00000000-0010-0000-0000-000001000000}" name="Valor Teto" dataDxfId="5"/>
    <tableColumn id="2" xr3:uid="{00000000-0010-0000-0000-000002000000}" name="Alíquota" dataDxfId="4"/>
    <tableColumn id="3" xr3:uid="{00000000-0010-0000-0000-000003000000}" name="Desconto" dataDxfId="3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5:B21" totalsRowShown="0">
  <autoFilter ref="A15:B21" xr:uid="{00000000-0009-0000-0100-000002000000}"/>
  <tableColumns count="2">
    <tableColumn id="1" xr3:uid="{00000000-0010-0000-0100-000001000000}" name="Descrição"/>
    <tableColumn id="2" xr3:uid="{00000000-0010-0000-0100-000002000000}" name="Limite / ano" data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C21"/>
  <sheetViews>
    <sheetView workbookViewId="0">
      <selection activeCell="B11" sqref="B11"/>
    </sheetView>
  </sheetViews>
  <sheetFormatPr defaultRowHeight="15" x14ac:dyDescent="0.25"/>
  <cols>
    <col min="1" max="1" width="16.85546875" customWidth="1"/>
    <col min="2" max="2" width="13.7109375" style="1" customWidth="1"/>
    <col min="3" max="3" width="11.28515625" style="6" customWidth="1"/>
  </cols>
  <sheetData>
    <row r="1" spans="1:3" ht="18.75" x14ac:dyDescent="0.3">
      <c r="A1" s="38" t="s">
        <v>2</v>
      </c>
      <c r="B1" s="38"/>
      <c r="C1" s="38"/>
    </row>
    <row r="2" spans="1:3" x14ac:dyDescent="0.25">
      <c r="A2" t="s">
        <v>0</v>
      </c>
      <c r="B2" s="2" t="s">
        <v>1</v>
      </c>
      <c r="C2" s="5" t="s">
        <v>4</v>
      </c>
    </row>
    <row r="3" spans="1:3" x14ac:dyDescent="0.25">
      <c r="A3" s="4">
        <v>1903.98</v>
      </c>
      <c r="B3" s="1">
        <v>0</v>
      </c>
      <c r="C3" s="6">
        <v>0</v>
      </c>
    </row>
    <row r="4" spans="1:3" x14ac:dyDescent="0.25">
      <c r="A4" s="4">
        <v>2826.65</v>
      </c>
      <c r="B4" s="1">
        <v>7.4999999999999997E-2</v>
      </c>
      <c r="C4" s="6">
        <v>142.80000000000001</v>
      </c>
    </row>
    <row r="5" spans="1:3" x14ac:dyDescent="0.25">
      <c r="A5" s="4">
        <v>3751.05</v>
      </c>
      <c r="B5" s="1">
        <v>0.15</v>
      </c>
      <c r="C5" s="6">
        <v>354.8</v>
      </c>
    </row>
    <row r="6" spans="1:3" x14ac:dyDescent="0.25">
      <c r="A6" s="4">
        <v>4664.68</v>
      </c>
      <c r="B6" s="1">
        <v>0.22500000000000001</v>
      </c>
      <c r="C6" s="6">
        <v>636.13</v>
      </c>
    </row>
    <row r="7" spans="1:3" x14ac:dyDescent="0.25">
      <c r="A7" s="4"/>
      <c r="B7" s="1">
        <v>0.27500000000000002</v>
      </c>
      <c r="C7" s="6">
        <v>869.36</v>
      </c>
    </row>
    <row r="8" spans="1:3" x14ac:dyDescent="0.25">
      <c r="A8" s="4"/>
    </row>
    <row r="10" spans="1:3" x14ac:dyDescent="0.25">
      <c r="A10" s="7" t="s">
        <v>3</v>
      </c>
      <c r="B10" s="8">
        <v>954</v>
      </c>
      <c r="C10" s="3"/>
    </row>
    <row r="11" spans="1:3" x14ac:dyDescent="0.25">
      <c r="A11" s="7" t="s">
        <v>8</v>
      </c>
      <c r="B11" s="10">
        <v>0.11</v>
      </c>
    </row>
    <row r="12" spans="1:3" x14ac:dyDescent="0.25">
      <c r="A12" s="7" t="s">
        <v>41</v>
      </c>
      <c r="B12" s="8">
        <v>621.04</v>
      </c>
    </row>
    <row r="14" spans="1:3" ht="15.75" x14ac:dyDescent="0.25">
      <c r="A14" s="39" t="s">
        <v>16</v>
      </c>
      <c r="B14" s="39"/>
    </row>
    <row r="15" spans="1:3" x14ac:dyDescent="0.25">
      <c r="A15" t="s">
        <v>17</v>
      </c>
      <c r="B15" s="1" t="s">
        <v>18</v>
      </c>
    </row>
    <row r="16" spans="1:3" x14ac:dyDescent="0.25">
      <c r="A16" t="s">
        <v>19</v>
      </c>
      <c r="B16" s="6">
        <v>2275.08</v>
      </c>
    </row>
    <row r="17" spans="1:2" x14ac:dyDescent="0.25">
      <c r="A17" t="s">
        <v>20</v>
      </c>
      <c r="B17" s="6">
        <v>3561.5</v>
      </c>
    </row>
    <row r="18" spans="1:2" x14ac:dyDescent="0.25">
      <c r="A18" t="s">
        <v>21</v>
      </c>
      <c r="B18" s="6"/>
    </row>
    <row r="19" spans="1:2" x14ac:dyDescent="0.25">
      <c r="A19" t="s">
        <v>22</v>
      </c>
      <c r="B19" s="6"/>
    </row>
    <row r="20" spans="1:2" x14ac:dyDescent="0.25">
      <c r="B20" s="6"/>
    </row>
    <row r="21" spans="1:2" x14ac:dyDescent="0.25">
      <c r="B21" s="6"/>
    </row>
  </sheetData>
  <mergeCells count="2">
    <mergeCell ref="A1:C1"/>
    <mergeCell ref="A14:B14"/>
  </mergeCells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B12"/>
  <sheetViews>
    <sheetView tabSelected="1" zoomScaleNormal="100" workbookViewId="0">
      <selection activeCell="H1" sqref="H1"/>
    </sheetView>
  </sheetViews>
  <sheetFormatPr defaultColWidth="9.140625" defaultRowHeight="15" x14ac:dyDescent="0.25"/>
  <cols>
    <col min="1" max="1" width="16.7109375" style="13" customWidth="1"/>
    <col min="2" max="2" width="109.5703125" style="33" customWidth="1"/>
    <col min="3" max="16384" width="9.140625" style="31"/>
  </cols>
  <sheetData>
    <row r="1" spans="1:2" ht="22.5" customHeight="1" x14ac:dyDescent="0.25">
      <c r="A1" s="43" t="s">
        <v>35</v>
      </c>
      <c r="B1" s="43"/>
    </row>
    <row r="2" spans="1:2" ht="60" customHeight="1" x14ac:dyDescent="0.25">
      <c r="A2" s="44" t="s">
        <v>45</v>
      </c>
      <c r="B2" s="44"/>
    </row>
    <row r="3" spans="1:2" ht="9" customHeight="1" x14ac:dyDescent="0.25">
      <c r="A3" s="42"/>
      <c r="B3" s="42"/>
    </row>
    <row r="4" spans="1:2" s="32" customFormat="1" ht="21" customHeight="1" x14ac:dyDescent="0.25">
      <c r="A4" s="41" t="s">
        <v>36</v>
      </c>
      <c r="B4" s="41"/>
    </row>
    <row r="5" spans="1:2" ht="168.75" customHeight="1" x14ac:dyDescent="0.25">
      <c r="A5" s="45" t="s">
        <v>42</v>
      </c>
      <c r="B5" s="45"/>
    </row>
    <row r="6" spans="1:2" ht="9" customHeight="1" x14ac:dyDescent="0.25">
      <c r="A6" s="40"/>
      <c r="B6" s="40"/>
    </row>
    <row r="7" spans="1:2" s="32" customFormat="1" ht="21" customHeight="1" x14ac:dyDescent="0.25">
      <c r="A7" s="41" t="s">
        <v>34</v>
      </c>
      <c r="B7" s="41"/>
    </row>
    <row r="8" spans="1:2" x14ac:dyDescent="0.25">
      <c r="A8" s="35">
        <v>43149</v>
      </c>
      <c r="B8" s="33" t="s">
        <v>37</v>
      </c>
    </row>
    <row r="9" spans="1:2" ht="60" x14ac:dyDescent="0.25">
      <c r="A9" s="35">
        <v>43152</v>
      </c>
      <c r="B9" s="33" t="s">
        <v>38</v>
      </c>
    </row>
    <row r="10" spans="1:2" x14ac:dyDescent="0.25">
      <c r="A10" s="35">
        <v>43153</v>
      </c>
      <c r="B10" s="33" t="s">
        <v>39</v>
      </c>
    </row>
    <row r="11" spans="1:2" ht="45" x14ac:dyDescent="0.25">
      <c r="A11" s="35">
        <v>43159</v>
      </c>
      <c r="B11" s="33" t="s">
        <v>43</v>
      </c>
    </row>
    <row r="12" spans="1:2" x14ac:dyDescent="0.25">
      <c r="A12" s="35">
        <v>43163</v>
      </c>
      <c r="B12" s="33" t="s">
        <v>44</v>
      </c>
    </row>
  </sheetData>
  <sheetProtection algorithmName="SHA-512" hashValue="nBwAGqcOoewtEVB7fAwuo0Oh9Lh0wt5RoI19BSYTifpNzJA3teC1DT6921WMJhGXsS6u276i7weoDA/oWxMgWw==" saltValue="Fa92KrTQB2VT4uGPKtQZkg==" spinCount="100000" sheet="1" objects="1" scenarios="1"/>
  <mergeCells count="7">
    <mergeCell ref="A6:B6"/>
    <mergeCell ref="A7:B7"/>
    <mergeCell ref="A3:B3"/>
    <mergeCell ref="A1:B1"/>
    <mergeCell ref="A2:B2"/>
    <mergeCell ref="A4:B4"/>
    <mergeCell ref="A5:B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"/>
  <sheetViews>
    <sheetView workbookViewId="0">
      <selection activeCell="M4" sqref="M4"/>
    </sheetView>
  </sheetViews>
  <sheetFormatPr defaultRowHeight="15" x14ac:dyDescent="0.25"/>
  <cols>
    <col min="1" max="1" width="19" customWidth="1"/>
    <col min="2" max="13" width="12.5703125" customWidth="1"/>
  </cols>
  <sheetData>
    <row r="1" spans="1:13" x14ac:dyDescent="0.25">
      <c r="A1" s="11" t="s">
        <v>5</v>
      </c>
      <c r="B1" s="12">
        <v>42736</v>
      </c>
      <c r="C1" s="12">
        <v>42767</v>
      </c>
      <c r="D1" s="12">
        <v>42795</v>
      </c>
      <c r="E1" s="12">
        <v>42826</v>
      </c>
      <c r="F1" s="12">
        <v>42856</v>
      </c>
      <c r="G1" s="12">
        <v>42887</v>
      </c>
      <c r="H1" s="12">
        <v>42917</v>
      </c>
      <c r="I1" s="12">
        <v>42948</v>
      </c>
      <c r="J1" s="12">
        <v>42979</v>
      </c>
      <c r="K1" s="12">
        <v>43009</v>
      </c>
      <c r="L1" s="12">
        <v>43040</v>
      </c>
      <c r="M1" s="12">
        <v>43070</v>
      </c>
    </row>
    <row r="2" spans="1:13" x14ac:dyDescent="0.25">
      <c r="A2" s="14" t="s">
        <v>23</v>
      </c>
      <c r="B2" s="19">
        <v>6862</v>
      </c>
      <c r="C2" s="19">
        <v>9516.3799999999992</v>
      </c>
      <c r="D2" s="19">
        <v>7189.44</v>
      </c>
      <c r="E2" s="19">
        <v>15006.17</v>
      </c>
      <c r="F2" s="19">
        <v>6842.45</v>
      </c>
      <c r="G2" s="19">
        <v>10201.620000000001</v>
      </c>
      <c r="H2" s="19">
        <v>9231.76</v>
      </c>
      <c r="I2" s="19">
        <v>8374.6</v>
      </c>
      <c r="J2" s="19">
        <v>9172.4699999999993</v>
      </c>
      <c r="K2" s="19">
        <v>9140.92</v>
      </c>
      <c r="L2" s="19">
        <v>9869.31</v>
      </c>
      <c r="M2" s="19">
        <v>8983.06</v>
      </c>
    </row>
    <row r="3" spans="1:13" x14ac:dyDescent="0.25">
      <c r="A3" s="14" t="s">
        <v>9</v>
      </c>
      <c r="B3" s="16">
        <v>99505.38</v>
      </c>
      <c r="C3" s="16">
        <v>102752.42</v>
      </c>
      <c r="D3" s="16">
        <v>103492.53</v>
      </c>
      <c r="E3" s="16">
        <v>109794.87</v>
      </c>
      <c r="F3" s="16">
        <v>108435.32</v>
      </c>
      <c r="G3" s="16">
        <v>109144.36</v>
      </c>
      <c r="H3" s="16">
        <v>108984.78</v>
      </c>
      <c r="I3" s="16">
        <v>108695.38</v>
      </c>
      <c r="J3" s="16">
        <v>107974.38</v>
      </c>
      <c r="K3" s="16">
        <v>108361.25</v>
      </c>
      <c r="L3" s="16">
        <v>108646.45</v>
      </c>
      <c r="M3" s="16">
        <v>110390.18</v>
      </c>
    </row>
    <row r="4" spans="1:13" x14ac:dyDescent="0.25">
      <c r="A4" s="11" t="s">
        <v>6</v>
      </c>
      <c r="B4" s="20">
        <v>937</v>
      </c>
      <c r="C4" s="20">
        <v>937</v>
      </c>
      <c r="D4" s="20">
        <v>937</v>
      </c>
      <c r="E4" s="20">
        <v>937</v>
      </c>
      <c r="F4" s="20">
        <v>937</v>
      </c>
      <c r="G4" s="20">
        <v>937</v>
      </c>
      <c r="H4" s="20">
        <v>937</v>
      </c>
      <c r="I4" s="20">
        <v>937</v>
      </c>
      <c r="J4" s="20">
        <v>937</v>
      </c>
      <c r="K4" s="20">
        <v>937</v>
      </c>
      <c r="L4" s="20">
        <v>937</v>
      </c>
      <c r="M4" s="20">
        <v>937</v>
      </c>
    </row>
    <row r="5" spans="1:13" x14ac:dyDescent="0.25">
      <c r="A5" s="11" t="s">
        <v>7</v>
      </c>
      <c r="B5" s="30">
        <f t="shared" ref="B5:M5" si="0">-B4*InssPatronal</f>
        <v>-103.07000000000001</v>
      </c>
      <c r="C5" s="30">
        <f t="shared" si="0"/>
        <v>-103.07000000000001</v>
      </c>
      <c r="D5" s="30">
        <f t="shared" si="0"/>
        <v>-103.07000000000001</v>
      </c>
      <c r="E5" s="30">
        <f t="shared" si="0"/>
        <v>-103.07000000000001</v>
      </c>
      <c r="F5" s="30">
        <f t="shared" si="0"/>
        <v>-103.07000000000001</v>
      </c>
      <c r="G5" s="30">
        <f t="shared" si="0"/>
        <v>-103.07000000000001</v>
      </c>
      <c r="H5" s="30">
        <f t="shared" si="0"/>
        <v>-103.07000000000001</v>
      </c>
      <c r="I5" s="30">
        <f t="shared" si="0"/>
        <v>-103.07000000000001</v>
      </c>
      <c r="J5" s="30">
        <f t="shared" si="0"/>
        <v>-103.07000000000001</v>
      </c>
      <c r="K5" s="30">
        <f t="shared" si="0"/>
        <v>-103.07000000000001</v>
      </c>
      <c r="L5" s="30">
        <f t="shared" si="0"/>
        <v>-103.07000000000001</v>
      </c>
      <c r="M5" s="30">
        <f t="shared" si="0"/>
        <v>-103.07000000000001</v>
      </c>
    </row>
    <row r="6" spans="1:13" x14ac:dyDescent="0.25">
      <c r="A6" s="11" t="s">
        <v>33</v>
      </c>
      <c r="B6" s="20">
        <f>B4</f>
        <v>937</v>
      </c>
      <c r="C6" s="20">
        <f t="shared" ref="C6:M6" si="1">C4</f>
        <v>937</v>
      </c>
      <c r="D6" s="20">
        <f t="shared" si="1"/>
        <v>937</v>
      </c>
      <c r="E6" s="20">
        <f t="shared" si="1"/>
        <v>937</v>
      </c>
      <c r="F6" s="20">
        <f t="shared" si="1"/>
        <v>937</v>
      </c>
      <c r="G6" s="20">
        <f t="shared" si="1"/>
        <v>937</v>
      </c>
      <c r="H6" s="20">
        <f t="shared" si="1"/>
        <v>937</v>
      </c>
      <c r="I6" s="20">
        <f t="shared" si="1"/>
        <v>937</v>
      </c>
      <c r="J6" s="20">
        <f t="shared" si="1"/>
        <v>937</v>
      </c>
      <c r="K6" s="20">
        <f t="shared" si="1"/>
        <v>937</v>
      </c>
      <c r="L6" s="20">
        <f t="shared" si="1"/>
        <v>937</v>
      </c>
      <c r="M6" s="20">
        <f t="shared" si="1"/>
        <v>937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Y29"/>
  <sheetViews>
    <sheetView workbookViewId="0">
      <selection activeCell="A4" sqref="A4"/>
    </sheetView>
  </sheetViews>
  <sheetFormatPr defaultRowHeight="15" x14ac:dyDescent="0.25"/>
  <cols>
    <col min="1" max="1" width="19.42578125" customWidth="1"/>
    <col min="2" max="25" width="13" customWidth="1"/>
  </cols>
  <sheetData>
    <row r="1" spans="1:25" s="13" customFormat="1" ht="21.75" customHeight="1" x14ac:dyDescent="0.25">
      <c r="A1" s="11" t="s">
        <v>5</v>
      </c>
      <c r="B1" s="12">
        <v>43101</v>
      </c>
      <c r="C1" s="12">
        <v>43132</v>
      </c>
      <c r="D1" s="12">
        <v>43160</v>
      </c>
      <c r="E1" s="12">
        <v>43191</v>
      </c>
      <c r="F1" s="12">
        <v>43221</v>
      </c>
      <c r="G1" s="12">
        <v>43252</v>
      </c>
      <c r="H1" s="12">
        <v>43282</v>
      </c>
      <c r="I1" s="12">
        <v>43313</v>
      </c>
      <c r="J1" s="12">
        <v>43344</v>
      </c>
      <c r="K1" s="12">
        <v>43374</v>
      </c>
      <c r="L1" s="12">
        <v>43405</v>
      </c>
      <c r="M1" s="12">
        <v>43435</v>
      </c>
      <c r="N1" s="12">
        <v>43466</v>
      </c>
      <c r="O1" s="12">
        <v>43497</v>
      </c>
      <c r="P1" s="12">
        <v>43525</v>
      </c>
      <c r="Q1" s="12">
        <v>43556</v>
      </c>
      <c r="R1" s="12">
        <v>43586</v>
      </c>
      <c r="S1" s="12">
        <v>43617</v>
      </c>
      <c r="T1" s="12">
        <v>43647</v>
      </c>
      <c r="U1" s="12">
        <v>43678</v>
      </c>
      <c r="V1" s="12">
        <v>43709</v>
      </c>
      <c r="W1" s="12">
        <v>43739</v>
      </c>
      <c r="X1" s="12">
        <v>43770</v>
      </c>
      <c r="Y1" s="12">
        <v>43800</v>
      </c>
    </row>
    <row r="2" spans="1:25" s="15" customFormat="1" ht="17.25" customHeight="1" x14ac:dyDescent="0.25">
      <c r="A2" s="14" t="s">
        <v>23</v>
      </c>
      <c r="B2" s="19">
        <v>8000</v>
      </c>
      <c r="C2" s="19">
        <v>8000</v>
      </c>
      <c r="D2" s="19">
        <v>8000</v>
      </c>
      <c r="E2" s="19">
        <v>8000</v>
      </c>
      <c r="F2" s="19">
        <v>8000</v>
      </c>
      <c r="G2" s="19">
        <v>8000</v>
      </c>
      <c r="H2" s="19">
        <v>8000</v>
      </c>
      <c r="I2" s="19">
        <v>8000</v>
      </c>
      <c r="J2" s="19">
        <v>8000</v>
      </c>
      <c r="K2" s="19">
        <v>8000</v>
      </c>
      <c r="L2" s="19">
        <v>8000</v>
      </c>
      <c r="M2" s="19">
        <v>8000</v>
      </c>
      <c r="N2" s="19">
        <v>9200</v>
      </c>
      <c r="O2" s="19">
        <v>9200</v>
      </c>
      <c r="P2" s="19">
        <v>9200</v>
      </c>
      <c r="Q2" s="19">
        <v>9200</v>
      </c>
      <c r="R2" s="19">
        <v>9200</v>
      </c>
      <c r="S2" s="19">
        <v>9200</v>
      </c>
      <c r="T2" s="19">
        <v>9200</v>
      </c>
      <c r="U2" s="19">
        <v>9200</v>
      </c>
      <c r="V2" s="19">
        <v>9200</v>
      </c>
      <c r="W2" s="19">
        <v>9200</v>
      </c>
      <c r="X2" s="19">
        <v>9200</v>
      </c>
      <c r="Y2" s="19">
        <v>9200</v>
      </c>
    </row>
    <row r="3" spans="1:25" s="15" customFormat="1" ht="17.25" customHeight="1" x14ac:dyDescent="0.25">
      <c r="A3" s="14" t="s">
        <v>9</v>
      </c>
      <c r="B3" s="16">
        <f>SUM('Histórico 12 Meses'!B2:$M2)</f>
        <v>110390.18</v>
      </c>
      <c r="C3" s="16">
        <f>SUM('Histórico 12 Meses'!C2:$M2) + SUM($B2:B2)</f>
        <v>111528.18</v>
      </c>
      <c r="D3" s="16">
        <f>SUM('Histórico 12 Meses'!D2:$M2) + SUM($B2:C2)</f>
        <v>110011.79999999999</v>
      </c>
      <c r="E3" s="16">
        <f>SUM('Histórico 12 Meses'!E2:$M2) + SUM($B2:D2)</f>
        <v>110822.36</v>
      </c>
      <c r="F3" s="16">
        <f>SUM('Histórico 12 Meses'!F2:$M2) + SUM($B2:E2)</f>
        <v>103816.19</v>
      </c>
      <c r="G3" s="16">
        <f>SUM('Histórico 12 Meses'!G2:$M2) + SUM($B2:F2)</f>
        <v>104973.73999999999</v>
      </c>
      <c r="H3" s="16">
        <f>SUM('Histórico 12 Meses'!H2:$M2) + SUM($B2:G2)</f>
        <v>102772.12</v>
      </c>
      <c r="I3" s="16">
        <f>SUM('Histórico 12 Meses'!I2:$M2) + SUM($B2:H2)</f>
        <v>101540.35999999999</v>
      </c>
      <c r="J3" s="16">
        <f>SUM('Histórico 12 Meses'!J2:$M2) + SUM($B2:I2)</f>
        <v>101165.75999999999</v>
      </c>
      <c r="K3" s="16">
        <f>SUM('Histórico 12 Meses'!K2:$M2) + SUM($B2:J2)</f>
        <v>99993.290000000008</v>
      </c>
      <c r="L3" s="16">
        <f>SUM('Histórico 12 Meses'!L2:$M2) + SUM($B2:K2)</f>
        <v>98852.37</v>
      </c>
      <c r="M3" s="16">
        <f>SUM('Histórico 12 Meses'!M2:$M2) + SUM($B2:L2)</f>
        <v>96983.06</v>
      </c>
      <c r="N3" s="16">
        <f>SUM(B2:M2)</f>
        <v>96000</v>
      </c>
      <c r="O3" s="16">
        <f t="shared" ref="O3:Y3" si="0">SUM(C2:N2)</f>
        <v>97200</v>
      </c>
      <c r="P3" s="16">
        <f t="shared" si="0"/>
        <v>98400</v>
      </c>
      <c r="Q3" s="16">
        <f t="shared" si="0"/>
        <v>99600</v>
      </c>
      <c r="R3" s="16">
        <f t="shared" si="0"/>
        <v>100800</v>
      </c>
      <c r="S3" s="16">
        <f t="shared" si="0"/>
        <v>102000</v>
      </c>
      <c r="T3" s="16">
        <f t="shared" si="0"/>
        <v>103200</v>
      </c>
      <c r="U3" s="16">
        <f t="shared" si="0"/>
        <v>104400</v>
      </c>
      <c r="V3" s="16">
        <f t="shared" si="0"/>
        <v>105600</v>
      </c>
      <c r="W3" s="16">
        <f t="shared" si="0"/>
        <v>106800</v>
      </c>
      <c r="X3" s="16">
        <f t="shared" si="0"/>
        <v>108000</v>
      </c>
      <c r="Y3" s="16">
        <f t="shared" si="0"/>
        <v>109200</v>
      </c>
    </row>
    <row r="4" spans="1:25" s="13" customFormat="1" ht="17.25" customHeight="1" x14ac:dyDescent="0.25">
      <c r="A4" s="11" t="s">
        <v>6</v>
      </c>
      <c r="B4" s="20">
        <v>954</v>
      </c>
      <c r="C4" s="20">
        <v>21000</v>
      </c>
      <c r="D4" s="20">
        <v>954</v>
      </c>
      <c r="E4" s="20">
        <v>954</v>
      </c>
      <c r="F4" s="20">
        <v>954</v>
      </c>
      <c r="G4" s="20">
        <v>954</v>
      </c>
      <c r="H4" s="20">
        <v>954</v>
      </c>
      <c r="I4" s="20">
        <v>954</v>
      </c>
      <c r="J4" s="20">
        <v>954</v>
      </c>
      <c r="K4" s="20">
        <v>954</v>
      </c>
      <c r="L4" s="20">
        <v>954</v>
      </c>
      <c r="M4" s="20">
        <v>954</v>
      </c>
      <c r="N4" s="20">
        <v>998</v>
      </c>
      <c r="O4" s="20">
        <v>20000</v>
      </c>
      <c r="P4" s="20">
        <v>998</v>
      </c>
      <c r="Q4" s="20">
        <v>998</v>
      </c>
      <c r="R4" s="20">
        <v>998</v>
      </c>
      <c r="S4" s="20">
        <v>998</v>
      </c>
      <c r="T4" s="20">
        <v>998</v>
      </c>
      <c r="U4" s="20">
        <v>998</v>
      </c>
      <c r="V4" s="20">
        <v>998</v>
      </c>
      <c r="W4" s="20">
        <v>998</v>
      </c>
      <c r="X4" s="20">
        <v>998</v>
      </c>
      <c r="Y4" s="20">
        <v>998</v>
      </c>
    </row>
    <row r="5" spans="1:25" s="13" customFormat="1" ht="17.25" customHeight="1" x14ac:dyDescent="0.25">
      <c r="A5" s="11" t="s">
        <v>7</v>
      </c>
      <c r="B5" s="26">
        <f t="shared" ref="B5:Y5" si="1">-IF(AND(B4 &lt; salarioMinimo, B4 &gt; 0), "#ERRO - Deve ser acima do salário minimo",  (   IF(  B4*InssPatronal &gt; inssTeto, inssTeto,    B4*InssPatronal)))</f>
        <v>-104.94</v>
      </c>
      <c r="C5" s="26">
        <f t="shared" si="1"/>
        <v>-621.04</v>
      </c>
      <c r="D5" s="26">
        <f t="shared" si="1"/>
        <v>-104.94</v>
      </c>
      <c r="E5" s="26">
        <f t="shared" si="1"/>
        <v>-104.94</v>
      </c>
      <c r="F5" s="26">
        <f t="shared" si="1"/>
        <v>-104.94</v>
      </c>
      <c r="G5" s="26">
        <f t="shared" si="1"/>
        <v>-104.94</v>
      </c>
      <c r="H5" s="26">
        <f t="shared" si="1"/>
        <v>-104.94</v>
      </c>
      <c r="I5" s="26">
        <f t="shared" si="1"/>
        <v>-104.94</v>
      </c>
      <c r="J5" s="26">
        <f t="shared" si="1"/>
        <v>-104.94</v>
      </c>
      <c r="K5" s="26">
        <f t="shared" si="1"/>
        <v>-104.94</v>
      </c>
      <c r="L5" s="26">
        <f t="shared" si="1"/>
        <v>-104.94</v>
      </c>
      <c r="M5" s="26">
        <f t="shared" si="1"/>
        <v>-104.94</v>
      </c>
      <c r="N5" s="26">
        <f t="shared" si="1"/>
        <v>-109.78</v>
      </c>
      <c r="O5" s="26">
        <f t="shared" si="1"/>
        <v>-621.04</v>
      </c>
      <c r="P5" s="26">
        <f t="shared" si="1"/>
        <v>-109.78</v>
      </c>
      <c r="Q5" s="26">
        <f t="shared" si="1"/>
        <v>-109.78</v>
      </c>
      <c r="R5" s="26">
        <f t="shared" si="1"/>
        <v>-109.78</v>
      </c>
      <c r="S5" s="26">
        <f t="shared" si="1"/>
        <v>-109.78</v>
      </c>
      <c r="T5" s="26">
        <f t="shared" si="1"/>
        <v>-109.78</v>
      </c>
      <c r="U5" s="26">
        <f t="shared" si="1"/>
        <v>-109.78</v>
      </c>
      <c r="V5" s="26">
        <f t="shared" si="1"/>
        <v>-109.78</v>
      </c>
      <c r="W5" s="26">
        <f t="shared" si="1"/>
        <v>-109.78</v>
      </c>
      <c r="X5" s="26">
        <f t="shared" si="1"/>
        <v>-109.78</v>
      </c>
      <c r="Y5" s="26">
        <f t="shared" si="1"/>
        <v>-109.78</v>
      </c>
    </row>
    <row r="6" spans="1:25" s="13" customFormat="1" ht="17.25" customHeight="1" x14ac:dyDescent="0.25">
      <c r="A6" s="11" t="s">
        <v>33</v>
      </c>
      <c r="B6" s="26">
        <f>B4</f>
        <v>954</v>
      </c>
      <c r="C6" s="26">
        <f t="shared" ref="C6:Y6" si="2">C4</f>
        <v>21000</v>
      </c>
      <c r="D6" s="26">
        <f t="shared" si="2"/>
        <v>954</v>
      </c>
      <c r="E6" s="26">
        <f t="shared" si="2"/>
        <v>954</v>
      </c>
      <c r="F6" s="26">
        <f t="shared" si="2"/>
        <v>954</v>
      </c>
      <c r="G6" s="26">
        <f t="shared" si="2"/>
        <v>954</v>
      </c>
      <c r="H6" s="26">
        <f t="shared" si="2"/>
        <v>954</v>
      </c>
      <c r="I6" s="26">
        <f t="shared" si="2"/>
        <v>954</v>
      </c>
      <c r="J6" s="26">
        <f t="shared" si="2"/>
        <v>954</v>
      </c>
      <c r="K6" s="26">
        <f t="shared" si="2"/>
        <v>954</v>
      </c>
      <c r="L6" s="26">
        <f t="shared" si="2"/>
        <v>954</v>
      </c>
      <c r="M6" s="26">
        <f t="shared" si="2"/>
        <v>954</v>
      </c>
      <c r="N6" s="26">
        <f t="shared" si="2"/>
        <v>998</v>
      </c>
      <c r="O6" s="26">
        <f t="shared" si="2"/>
        <v>20000</v>
      </c>
      <c r="P6" s="26">
        <f t="shared" si="2"/>
        <v>998</v>
      </c>
      <c r="Q6" s="26">
        <f t="shared" si="2"/>
        <v>998</v>
      </c>
      <c r="R6" s="26">
        <f t="shared" si="2"/>
        <v>998</v>
      </c>
      <c r="S6" s="26">
        <f t="shared" si="2"/>
        <v>998</v>
      </c>
      <c r="T6" s="26">
        <f t="shared" si="2"/>
        <v>998</v>
      </c>
      <c r="U6" s="26">
        <f t="shared" si="2"/>
        <v>998</v>
      </c>
      <c r="V6" s="26">
        <f t="shared" si="2"/>
        <v>998</v>
      </c>
      <c r="W6" s="26">
        <f t="shared" si="2"/>
        <v>998</v>
      </c>
      <c r="X6" s="26">
        <f t="shared" si="2"/>
        <v>998</v>
      </c>
      <c r="Y6" s="26">
        <f t="shared" si="2"/>
        <v>998</v>
      </c>
    </row>
    <row r="7" spans="1:25" s="13" customFormat="1" ht="17.25" customHeight="1" x14ac:dyDescent="0.25">
      <c r="A7" s="11" t="s">
        <v>10</v>
      </c>
      <c r="B7" s="16">
        <f>SUM('Histórico 12 Meses'!B6:M6)</f>
        <v>11244</v>
      </c>
      <c r="C7" s="16">
        <f>SUM('Histórico 12 Meses'!C6:$M6) + SUM($B6:B6)</f>
        <v>11261</v>
      </c>
      <c r="D7" s="16">
        <f>SUM('Histórico 12 Meses'!D6:$M6) + SUM($B6:C6)</f>
        <v>31324</v>
      </c>
      <c r="E7" s="16">
        <f>SUM('Histórico 12 Meses'!E6:$M6) + SUM($B6:D6)</f>
        <v>31341</v>
      </c>
      <c r="F7" s="16">
        <f>SUM('Histórico 12 Meses'!F6:$M6) + SUM($B6:E6)</f>
        <v>31358</v>
      </c>
      <c r="G7" s="16">
        <f>SUM('Histórico 12 Meses'!G6:$M6) + SUM($B6:F6)</f>
        <v>31375</v>
      </c>
      <c r="H7" s="16">
        <f>SUM('Histórico 12 Meses'!H6:$M6) + SUM($B6:G6)</f>
        <v>31392</v>
      </c>
      <c r="I7" s="16">
        <f>SUM('Histórico 12 Meses'!I6:$M6) + SUM($B6:H6)</f>
        <v>31409</v>
      </c>
      <c r="J7" s="16">
        <f>SUM('Histórico 12 Meses'!J6:$M6) + SUM($B6:I6)</f>
        <v>31426</v>
      </c>
      <c r="K7" s="16">
        <f>SUM('Histórico 12 Meses'!K6:$M6) + SUM($B6:J6)</f>
        <v>31443</v>
      </c>
      <c r="L7" s="16">
        <f>SUM('Histórico 12 Meses'!L6:$M6) + SUM($B6:K6)</f>
        <v>31460</v>
      </c>
      <c r="M7" s="16">
        <f>SUM('Histórico 12 Meses'!M6:$M6) + SUM($B6:L6)</f>
        <v>31477</v>
      </c>
      <c r="N7" s="16">
        <f>SUM(B6:M6)</f>
        <v>31494</v>
      </c>
      <c r="O7" s="16">
        <f t="shared" ref="O7:Y7" si="3">SUM(C6:N6)</f>
        <v>31538</v>
      </c>
      <c r="P7" s="16">
        <f t="shared" si="3"/>
        <v>30538</v>
      </c>
      <c r="Q7" s="16">
        <f t="shared" si="3"/>
        <v>30582</v>
      </c>
      <c r="R7" s="16">
        <f t="shared" si="3"/>
        <v>30626</v>
      </c>
      <c r="S7" s="16">
        <f t="shared" si="3"/>
        <v>30670</v>
      </c>
      <c r="T7" s="16">
        <f t="shared" si="3"/>
        <v>30714</v>
      </c>
      <c r="U7" s="16">
        <f t="shared" si="3"/>
        <v>30758</v>
      </c>
      <c r="V7" s="16">
        <f t="shared" si="3"/>
        <v>30802</v>
      </c>
      <c r="W7" s="16">
        <f t="shared" si="3"/>
        <v>30846</v>
      </c>
      <c r="X7" s="16">
        <f t="shared" si="3"/>
        <v>30890</v>
      </c>
      <c r="Y7" s="16">
        <f t="shared" si="3"/>
        <v>30934</v>
      </c>
    </row>
    <row r="8" spans="1:25" s="13" customFormat="1" ht="17.25" customHeight="1" x14ac:dyDescent="0.25">
      <c r="A8" s="34" t="s">
        <v>11</v>
      </c>
      <c r="B8" s="18">
        <f>B7/B3</f>
        <v>0.10185688618317318</v>
      </c>
      <c r="C8" s="18">
        <f t="shared" ref="C8:M8" si="4">C7/C3</f>
        <v>0.10096999699986138</v>
      </c>
      <c r="D8" s="18">
        <f t="shared" si="4"/>
        <v>0.28473309226828397</v>
      </c>
      <c r="E8" s="18">
        <f t="shared" si="4"/>
        <v>0.28280393956598648</v>
      </c>
      <c r="F8" s="18">
        <f t="shared" si="4"/>
        <v>0.30205308054552954</v>
      </c>
      <c r="G8" s="18">
        <f t="shared" si="4"/>
        <v>0.29888427334302847</v>
      </c>
      <c r="H8" s="18">
        <f t="shared" si="4"/>
        <v>0.30545249042249983</v>
      </c>
      <c r="I8" s="18">
        <f t="shared" si="4"/>
        <v>0.30932527716072705</v>
      </c>
      <c r="J8" s="18">
        <f t="shared" si="4"/>
        <v>0.31063869831057467</v>
      </c>
      <c r="K8" s="18">
        <f t="shared" si="4"/>
        <v>0.31445109966878776</v>
      </c>
      <c r="L8" s="18">
        <f t="shared" si="4"/>
        <v>0.31825235955394898</v>
      </c>
      <c r="M8" s="18">
        <f t="shared" si="4"/>
        <v>0.32456183585050835</v>
      </c>
      <c r="N8" s="18">
        <f t="shared" ref="N8" si="5">N7/N3</f>
        <v>0.32806249999999998</v>
      </c>
      <c r="O8" s="18">
        <f t="shared" ref="O8" si="6">O7/O3</f>
        <v>0.32446502057613169</v>
      </c>
      <c r="P8" s="18">
        <f t="shared" ref="P8" si="7">P7/P3</f>
        <v>0.31034552845528457</v>
      </c>
      <c r="Q8" s="18">
        <f t="shared" ref="Q8" si="8">Q7/Q3</f>
        <v>0.30704819277108436</v>
      </c>
      <c r="R8" s="18">
        <f t="shared" ref="R8" si="9">R7/R3</f>
        <v>0.30382936507936509</v>
      </c>
      <c r="S8" s="18">
        <f t="shared" ref="S8" si="10">S7/S3</f>
        <v>0.3006862745098039</v>
      </c>
      <c r="T8" s="18">
        <f t="shared" ref="T8" si="11">T7/T3</f>
        <v>0.29761627906976745</v>
      </c>
      <c r="U8" s="18">
        <f t="shared" ref="U8" si="12">U7/U3</f>
        <v>0.29461685823754791</v>
      </c>
      <c r="V8" s="18">
        <f t="shared" ref="V8" si="13">V7/V3</f>
        <v>0.29168560606060606</v>
      </c>
      <c r="W8" s="18">
        <f t="shared" ref="W8" si="14">W7/W3</f>
        <v>0.28882022471910113</v>
      </c>
      <c r="X8" s="18">
        <f t="shared" ref="X8" si="15">X7/X3</f>
        <v>0.28601851851851851</v>
      </c>
      <c r="Y8" s="18">
        <f t="shared" ref="Y8" si="16">Y7/Y3</f>
        <v>0.2832783882783883</v>
      </c>
    </row>
    <row r="9" spans="1:25" x14ac:dyDescent="0.25">
      <c r="A9" s="23" t="s">
        <v>25</v>
      </c>
      <c r="B9" s="24">
        <f>IF(B8&lt;0.28, 15.5,6)/100</f>
        <v>0.155</v>
      </c>
      <c r="C9" s="24">
        <f t="shared" ref="C9:M9" si="17">IF(C8&lt;0.28, 15.5,6)/100</f>
        <v>0.155</v>
      </c>
      <c r="D9" s="24">
        <f t="shared" si="17"/>
        <v>0.06</v>
      </c>
      <c r="E9" s="24">
        <f t="shared" si="17"/>
        <v>0.06</v>
      </c>
      <c r="F9" s="24">
        <f t="shared" si="17"/>
        <v>0.06</v>
      </c>
      <c r="G9" s="24">
        <f t="shared" si="17"/>
        <v>0.06</v>
      </c>
      <c r="H9" s="24">
        <f t="shared" si="17"/>
        <v>0.06</v>
      </c>
      <c r="I9" s="24">
        <f t="shared" si="17"/>
        <v>0.06</v>
      </c>
      <c r="J9" s="24">
        <f t="shared" si="17"/>
        <v>0.06</v>
      </c>
      <c r="K9" s="24">
        <f t="shared" si="17"/>
        <v>0.06</v>
      </c>
      <c r="L9" s="24">
        <f t="shared" si="17"/>
        <v>0.06</v>
      </c>
      <c r="M9" s="24">
        <f t="shared" si="17"/>
        <v>0.06</v>
      </c>
      <c r="N9" s="24">
        <f t="shared" ref="N9" si="18">IF(N8&lt;0.28, 15.5,6)/100</f>
        <v>0.06</v>
      </c>
      <c r="O9" s="24">
        <f t="shared" ref="O9" si="19">IF(O8&lt;0.28, 15.5,6)/100</f>
        <v>0.06</v>
      </c>
      <c r="P9" s="24">
        <f t="shared" ref="P9" si="20">IF(P8&lt;0.28, 15.5,6)/100</f>
        <v>0.06</v>
      </c>
      <c r="Q9" s="24">
        <f t="shared" ref="Q9" si="21">IF(Q8&lt;0.28, 15.5,6)/100</f>
        <v>0.06</v>
      </c>
      <c r="R9" s="24">
        <f t="shared" ref="R9" si="22">IF(R8&lt;0.28, 15.5,6)/100</f>
        <v>0.06</v>
      </c>
      <c r="S9" s="24">
        <f t="shared" ref="S9" si="23">IF(S8&lt;0.28, 15.5,6)/100</f>
        <v>0.06</v>
      </c>
      <c r="T9" s="24">
        <f t="shared" ref="T9" si="24">IF(T8&lt;0.28, 15.5,6)/100</f>
        <v>0.06</v>
      </c>
      <c r="U9" s="24">
        <f t="shared" ref="U9" si="25">IF(U8&lt;0.28, 15.5,6)/100</f>
        <v>0.06</v>
      </c>
      <c r="V9" s="24">
        <f t="shared" ref="V9" si="26">IF(V8&lt;0.28, 15.5,6)/100</f>
        <v>0.06</v>
      </c>
      <c r="W9" s="24">
        <f t="shared" ref="W9" si="27">IF(W8&lt;0.28, 15.5,6)/100</f>
        <v>0.06</v>
      </c>
      <c r="X9" s="24">
        <f t="shared" ref="X9" si="28">IF(X8&lt;0.28, 15.5,6)/100</f>
        <v>0.06</v>
      </c>
      <c r="Y9" s="24">
        <f t="shared" ref="Y9" si="29">IF(Y8&lt;0.28, 15.5,6)/100</f>
        <v>0.06</v>
      </c>
    </row>
    <row r="10" spans="1:25" x14ac:dyDescent="0.25">
      <c r="A10" s="23" t="s">
        <v>26</v>
      </c>
      <c r="B10" s="25">
        <f>-B2*B9</f>
        <v>-1240</v>
      </c>
      <c r="C10" s="25">
        <f t="shared" ref="C10:M10" si="30">-C2*C9</f>
        <v>-1240</v>
      </c>
      <c r="D10" s="25">
        <f t="shared" si="30"/>
        <v>-480</v>
      </c>
      <c r="E10" s="25">
        <f t="shared" si="30"/>
        <v>-480</v>
      </c>
      <c r="F10" s="25">
        <f t="shared" si="30"/>
        <v>-480</v>
      </c>
      <c r="G10" s="25">
        <f t="shared" si="30"/>
        <v>-480</v>
      </c>
      <c r="H10" s="25">
        <f t="shared" si="30"/>
        <v>-480</v>
      </c>
      <c r="I10" s="25">
        <f t="shared" si="30"/>
        <v>-480</v>
      </c>
      <c r="J10" s="25">
        <f t="shared" si="30"/>
        <v>-480</v>
      </c>
      <c r="K10" s="25">
        <f t="shared" si="30"/>
        <v>-480</v>
      </c>
      <c r="L10" s="25">
        <f t="shared" si="30"/>
        <v>-480</v>
      </c>
      <c r="M10" s="25">
        <f t="shared" si="30"/>
        <v>-480</v>
      </c>
      <c r="N10" s="25">
        <f t="shared" ref="N10" si="31">-N2*N9</f>
        <v>-552</v>
      </c>
      <c r="O10" s="25">
        <f t="shared" ref="O10" si="32">-O2*O9</f>
        <v>-552</v>
      </c>
      <c r="P10" s="25">
        <f t="shared" ref="P10" si="33">-P2*P9</f>
        <v>-552</v>
      </c>
      <c r="Q10" s="25">
        <f t="shared" ref="Q10" si="34">-Q2*Q9</f>
        <v>-552</v>
      </c>
      <c r="R10" s="25">
        <f t="shared" ref="R10" si="35">-R2*R9</f>
        <v>-552</v>
      </c>
      <c r="S10" s="25">
        <f t="shared" ref="S10" si="36">-S2*S9</f>
        <v>-552</v>
      </c>
      <c r="T10" s="25">
        <f t="shared" ref="T10" si="37">-T2*T9</f>
        <v>-552</v>
      </c>
      <c r="U10" s="25">
        <f t="shared" ref="U10" si="38">-U2*U9</f>
        <v>-552</v>
      </c>
      <c r="V10" s="25">
        <f t="shared" ref="V10" si="39">-V2*V9</f>
        <v>-552</v>
      </c>
      <c r="W10" s="25">
        <f t="shared" ref="W10" si="40">-W2*W9</f>
        <v>-552</v>
      </c>
      <c r="X10" s="25">
        <f t="shared" ref="X10" si="41">-X2*X9</f>
        <v>-552</v>
      </c>
      <c r="Y10" s="25">
        <f t="shared" ref="Y10" si="42">-Y2*Y9</f>
        <v>-552</v>
      </c>
    </row>
    <row r="11" spans="1:25" x14ac:dyDescent="0.25">
      <c r="A11" s="23" t="s">
        <v>40</v>
      </c>
      <c r="B11" s="36">
        <f xml:space="preserve"> -1 * (B4+B5) *
IF((B4+B5) &lt;= Parametros!$A$3, Parametros!$B$3, (IF((B4+B5) &lt;= Parametros!$A$4, Parametros!$B$4,   (IF((B4+B5) &lt;= Parametros!$A$5, Parametros!$B$5,    (IF((B4+B5) &lt;= Parametros!$A$6, Parametros!$B$6, Parametros!$B$7))   ))   )))  +
IF((B4+B5) &lt;= Parametros!$A$3, Parametros!$C$3, (IF((B4+B5) &lt;= Parametros!$A$4, Parametros!$C$4,   (IF((B4+B5) &lt;= Parametros!$A$5, Parametros!$C$5,    (IF((B4+B5) &lt;= Parametros!$A$6, Parametros!$C$6, Parametros!$C$7))   ))   )))</f>
        <v>0</v>
      </c>
      <c r="C11" s="36">
        <f xml:space="preserve"> -1 * (C4+C5) *
IF((C4+C5) &lt;= Parametros!$A$3, Parametros!$B$3, (IF((C4+C5) &lt;= Parametros!$A$4, Parametros!$B$4,   (IF((C4+C5) &lt;= Parametros!$A$5, Parametros!$B$5,    (IF((C4+C5) &lt;= Parametros!$A$6, Parametros!$B$6, Parametros!$B$7))   ))   )))  +
IF((C4+C5) &lt;= Parametros!$A$3, Parametros!$C$3, (IF((C4+C5) &lt;= Parametros!$A$4, Parametros!$C$4,   (IF((C4+C5) &lt;= Parametros!$A$5, Parametros!$C$5,    (IF((C4+C5) &lt;= Parametros!$A$6, Parametros!$C$6, Parametros!$C$7))   ))   )))</f>
        <v>-4734.8540000000003</v>
      </c>
      <c r="D11" s="36">
        <f xml:space="preserve"> -1 * (D4+D5) *
IF((D4+D5) &lt;= Parametros!$A$3, Parametros!$B$3, (IF((D4+D5) &lt;= Parametros!$A$4, Parametros!$B$4,   (IF((D4+D5) &lt;= Parametros!$A$5, Parametros!$B$5,    (IF((D4+D5) &lt;= Parametros!$A$6, Parametros!$B$6, Parametros!$B$7))   ))   )))  +
IF((D4+D5) &lt;= Parametros!$A$3, Parametros!$C$3, (IF((D4+D5) &lt;= Parametros!$A$4, Parametros!$C$4,   (IF((D4+D5) &lt;= Parametros!$A$5, Parametros!$C$5,    (IF((D4+D5) &lt;= Parametros!$A$6, Parametros!$C$6, Parametros!$C$7))   ))   )))</f>
        <v>0</v>
      </c>
      <c r="E11" s="36">
        <f xml:space="preserve"> -1 * (E4+E5) *
IF((E4+E5) &lt;= Parametros!$A$3, Parametros!$B$3, (IF((E4+E5) &lt;= Parametros!$A$4, Parametros!$B$4,   (IF((E4+E5) &lt;= Parametros!$A$5, Parametros!$B$5,    (IF((E4+E5) &lt;= Parametros!$A$6, Parametros!$B$6, Parametros!$B$7))   ))   )))  +
IF((E4+E5) &lt;= Parametros!$A$3, Parametros!$C$3, (IF((E4+E5) &lt;= Parametros!$A$4, Parametros!$C$4,   (IF((E4+E5) &lt;= Parametros!$A$5, Parametros!$C$5,    (IF((E4+E5) &lt;= Parametros!$A$6, Parametros!$C$6, Parametros!$C$7))   ))   )))</f>
        <v>0</v>
      </c>
      <c r="F11" s="36">
        <f xml:space="preserve"> -1 * (F4+F5) *
IF((F4+F5) &lt;= Parametros!$A$3, Parametros!$B$3, (IF((F4+F5) &lt;= Parametros!$A$4, Parametros!$B$4,   (IF((F4+F5) &lt;= Parametros!$A$5, Parametros!$B$5,    (IF((F4+F5) &lt;= Parametros!$A$6, Parametros!$B$6, Parametros!$B$7))   ))   )))  +
IF((F4+F5) &lt;= Parametros!$A$3, Parametros!$C$3, (IF((F4+F5) &lt;= Parametros!$A$4, Parametros!$C$4,   (IF((F4+F5) &lt;= Parametros!$A$5, Parametros!$C$5,    (IF((F4+F5) &lt;= Parametros!$A$6, Parametros!$C$6, Parametros!$C$7))   ))   )))</f>
        <v>0</v>
      </c>
      <c r="G11" s="36">
        <f xml:space="preserve"> -1 * (G4+G5) *
IF((G4+G5) &lt;= Parametros!$A$3, Parametros!$B$3, (IF((G4+G5) &lt;= Parametros!$A$4, Parametros!$B$4,   (IF((G4+G5) &lt;= Parametros!$A$5, Parametros!$B$5,    (IF((G4+G5) &lt;= Parametros!$A$6, Parametros!$B$6, Parametros!$B$7))   ))   )))  +
IF((G4+G5) &lt;= Parametros!$A$3, Parametros!$C$3, (IF((G4+G5) &lt;= Parametros!$A$4, Parametros!$C$4,   (IF((G4+G5) &lt;= Parametros!$A$5, Parametros!$C$5,    (IF((G4+G5) &lt;= Parametros!$A$6, Parametros!$C$6, Parametros!$C$7))   ))   )))</f>
        <v>0</v>
      </c>
      <c r="H11" s="36">
        <f xml:space="preserve"> -1 * (H4+H5) *
IF((H4+H5) &lt;= Parametros!$A$3, Parametros!$B$3, (IF((H4+H5) &lt;= Parametros!$A$4, Parametros!$B$4,   (IF((H4+H5) &lt;= Parametros!$A$5, Parametros!$B$5,    (IF((H4+H5) &lt;= Parametros!$A$6, Parametros!$B$6, Parametros!$B$7))   ))   )))  +
IF((H4+H5) &lt;= Parametros!$A$3, Parametros!$C$3, (IF((H4+H5) &lt;= Parametros!$A$4, Parametros!$C$4,   (IF((H4+H5) &lt;= Parametros!$A$5, Parametros!$C$5,    (IF((H4+H5) &lt;= Parametros!$A$6, Parametros!$C$6, Parametros!$C$7))   ))   )))</f>
        <v>0</v>
      </c>
      <c r="I11" s="36">
        <f xml:space="preserve"> -1 * (I4+I5) *
IF((I4+I5) &lt;= Parametros!$A$3, Parametros!$B$3, (IF((I4+I5) &lt;= Parametros!$A$4, Parametros!$B$4,   (IF((I4+I5) &lt;= Parametros!$A$5, Parametros!$B$5,    (IF((I4+I5) &lt;= Parametros!$A$6, Parametros!$B$6, Parametros!$B$7))   ))   )))  +
IF((I4+I5) &lt;= Parametros!$A$3, Parametros!$C$3, (IF((I4+I5) &lt;= Parametros!$A$4, Parametros!$C$4,   (IF((I4+I5) &lt;= Parametros!$A$5, Parametros!$C$5,    (IF((I4+I5) &lt;= Parametros!$A$6, Parametros!$C$6, Parametros!$C$7))   ))   )))</f>
        <v>0</v>
      </c>
      <c r="J11" s="36">
        <f xml:space="preserve"> -1 * (J4+J5) *
IF((J4+J5) &lt;= Parametros!$A$3, Parametros!$B$3, (IF((J4+J5) &lt;= Parametros!$A$4, Parametros!$B$4,   (IF((J4+J5) &lt;= Parametros!$A$5, Parametros!$B$5,    (IF((J4+J5) &lt;= Parametros!$A$6, Parametros!$B$6, Parametros!$B$7))   ))   )))  +
IF((J4+J5) &lt;= Parametros!$A$3, Parametros!$C$3, (IF((J4+J5) &lt;= Parametros!$A$4, Parametros!$C$4,   (IF((J4+J5) &lt;= Parametros!$A$5, Parametros!$C$5,    (IF((J4+J5) &lt;= Parametros!$A$6, Parametros!$C$6, Parametros!$C$7))   ))   )))</f>
        <v>0</v>
      </c>
      <c r="K11" s="36">
        <f xml:space="preserve"> -1 * (K4+K5) *
IF((K4+K5) &lt;= Parametros!$A$3, Parametros!$B$3, (IF((K4+K5) &lt;= Parametros!$A$4, Parametros!$B$4,   (IF((K4+K5) &lt;= Parametros!$A$5, Parametros!$B$5,    (IF((K4+K5) &lt;= Parametros!$A$6, Parametros!$B$6, Parametros!$B$7))   ))   )))  +
IF((K4+K5) &lt;= Parametros!$A$3, Parametros!$C$3, (IF((K4+K5) &lt;= Parametros!$A$4, Parametros!$C$4,   (IF((K4+K5) &lt;= Parametros!$A$5, Parametros!$C$5,    (IF((K4+K5) &lt;= Parametros!$A$6, Parametros!$C$6, Parametros!$C$7))   ))   )))</f>
        <v>0</v>
      </c>
      <c r="L11" s="36">
        <f xml:space="preserve"> -1 * (L4+L5) *
IF((L4+L5) &lt;= Parametros!$A$3, Parametros!$B$3, (IF((L4+L5) &lt;= Parametros!$A$4, Parametros!$B$4,   (IF((L4+L5) &lt;= Parametros!$A$5, Parametros!$B$5,    (IF((L4+L5) &lt;= Parametros!$A$6, Parametros!$B$6, Parametros!$B$7))   ))   )))  +
IF((L4+L5) &lt;= Parametros!$A$3, Parametros!$C$3, (IF((L4+L5) &lt;= Parametros!$A$4, Parametros!$C$4,   (IF((L4+L5) &lt;= Parametros!$A$5, Parametros!$C$5,    (IF((L4+L5) &lt;= Parametros!$A$6, Parametros!$C$6, Parametros!$C$7))   ))   )))</f>
        <v>0</v>
      </c>
      <c r="M11" s="36">
        <f xml:space="preserve"> -1 * (M4+M5) *
IF((M4+M5) &lt;= Parametros!$A$3, Parametros!$B$3, (IF((M4+M5) &lt;= Parametros!$A$4, Parametros!$B$4,   (IF((M4+M5) &lt;= Parametros!$A$5, Parametros!$B$5,    (IF((M4+M5) &lt;= Parametros!$A$6, Parametros!$B$6, Parametros!$B$7))   ))   )))  +
IF((M4+M5) &lt;= Parametros!$A$3, Parametros!$C$3, (IF((M4+M5) &lt;= Parametros!$A$4, Parametros!$C$4,   (IF((M4+M5) &lt;= Parametros!$A$5, Parametros!$C$5,    (IF((M4+M5) &lt;= Parametros!$A$6, Parametros!$C$6, Parametros!$C$7))   ))   )))</f>
        <v>0</v>
      </c>
      <c r="N11" s="36">
        <f xml:space="preserve"> -1 * (N4+N5) *
IF((N4+N5) &lt;= Parametros!$A$3, Parametros!$B$3, (IF((N4+N5) &lt;= Parametros!$A$4, Parametros!$B$4,   (IF((N4+N5) &lt;= Parametros!$A$5, Parametros!$B$5,    (IF((N4+N5) &lt;= Parametros!$A$6, Parametros!$B$6, Parametros!$B$7))   ))   )))  +
IF((N4+N5) &lt;= Parametros!$A$3, Parametros!$C$3, (IF((N4+N5) &lt;= Parametros!$A$4, Parametros!$C$4,   (IF((N4+N5) &lt;= Parametros!$A$5, Parametros!$C$5,    (IF((N4+N5) &lt;= Parametros!$A$6, Parametros!$C$6, Parametros!$C$7))   ))   )))</f>
        <v>0</v>
      </c>
      <c r="O11" s="36">
        <f xml:space="preserve"> -1 * (O4+O5) *
IF((O4+O5) &lt;= Parametros!$A$3, Parametros!$B$3, (IF((O4+O5) &lt;= Parametros!$A$4, Parametros!$B$4,   (IF((O4+O5) &lt;= Parametros!$A$5, Parametros!$B$5,    (IF((O4+O5) &lt;= Parametros!$A$6, Parametros!$B$6, Parametros!$B$7))   ))   )))  +
IF((O4+O5) &lt;= Parametros!$A$3, Parametros!$C$3, (IF((O4+O5) &lt;= Parametros!$A$4, Parametros!$C$4,   (IF((O4+O5) &lt;= Parametros!$A$5, Parametros!$C$5,    (IF((O4+O5) &lt;= Parametros!$A$6, Parametros!$C$6, Parametros!$C$7))   ))   )))</f>
        <v>-4459.8540000000003</v>
      </c>
      <c r="P11" s="36">
        <f xml:space="preserve"> -1 * (P4+P5) *
IF((P4+P5) &lt;= Parametros!$A$3, Parametros!$B$3, (IF((P4+P5) &lt;= Parametros!$A$4, Parametros!$B$4,   (IF((P4+P5) &lt;= Parametros!$A$5, Parametros!$B$5,    (IF((P4+P5) &lt;= Parametros!$A$6, Parametros!$B$6, Parametros!$B$7))   ))   )))  +
IF((P4+P5) &lt;= Parametros!$A$3, Parametros!$C$3, (IF((P4+P5) &lt;= Parametros!$A$4, Parametros!$C$4,   (IF((P4+P5) &lt;= Parametros!$A$5, Parametros!$C$5,    (IF((P4+P5) &lt;= Parametros!$A$6, Parametros!$C$6, Parametros!$C$7))   ))   )))</f>
        <v>0</v>
      </c>
      <c r="Q11" s="36">
        <f xml:space="preserve"> -1 * (Q4+Q5) *
IF((Q4+Q5) &lt;= Parametros!$A$3, Parametros!$B$3, (IF((Q4+Q5) &lt;= Parametros!$A$4, Parametros!$B$4,   (IF((Q4+Q5) &lt;= Parametros!$A$5, Parametros!$B$5,    (IF((Q4+Q5) &lt;= Parametros!$A$6, Parametros!$B$6, Parametros!$B$7))   ))   )))  +
IF((Q4+Q5) &lt;= Parametros!$A$3, Parametros!$C$3, (IF((Q4+Q5) &lt;= Parametros!$A$4, Parametros!$C$4,   (IF((Q4+Q5) &lt;= Parametros!$A$5, Parametros!$C$5,    (IF((Q4+Q5) &lt;= Parametros!$A$6, Parametros!$C$6, Parametros!$C$7))   ))   )))</f>
        <v>0</v>
      </c>
      <c r="R11" s="36">
        <f xml:space="preserve"> -1 * (R4+R5) *
IF((R4+R5) &lt;= Parametros!$A$3, Parametros!$B$3, (IF((R4+R5) &lt;= Parametros!$A$4, Parametros!$B$4,   (IF((R4+R5) &lt;= Parametros!$A$5, Parametros!$B$5,    (IF((R4+R5) &lt;= Parametros!$A$6, Parametros!$B$6, Parametros!$B$7))   ))   )))  +
IF((R4+R5) &lt;= Parametros!$A$3, Parametros!$C$3, (IF((R4+R5) &lt;= Parametros!$A$4, Parametros!$C$4,   (IF((R4+R5) &lt;= Parametros!$A$5, Parametros!$C$5,    (IF((R4+R5) &lt;= Parametros!$A$6, Parametros!$C$6, Parametros!$C$7))   ))   )))</f>
        <v>0</v>
      </c>
      <c r="S11" s="36">
        <f xml:space="preserve"> -1 * (S4+S5) *
IF((S4+S5) &lt;= Parametros!$A$3, Parametros!$B$3, (IF((S4+S5) &lt;= Parametros!$A$4, Parametros!$B$4,   (IF((S4+S5) &lt;= Parametros!$A$5, Parametros!$B$5,    (IF((S4+S5) &lt;= Parametros!$A$6, Parametros!$B$6, Parametros!$B$7))   ))   )))  +
IF((S4+S5) &lt;= Parametros!$A$3, Parametros!$C$3, (IF((S4+S5) &lt;= Parametros!$A$4, Parametros!$C$4,   (IF((S4+S5) &lt;= Parametros!$A$5, Parametros!$C$5,    (IF((S4+S5) &lt;= Parametros!$A$6, Parametros!$C$6, Parametros!$C$7))   ))   )))</f>
        <v>0</v>
      </c>
      <c r="T11" s="36">
        <f xml:space="preserve"> -1 * (T4+T5) *
IF((T4+T5) &lt;= Parametros!$A$3, Parametros!$B$3, (IF((T4+T5) &lt;= Parametros!$A$4, Parametros!$B$4,   (IF((T4+T5) &lt;= Parametros!$A$5, Parametros!$B$5,    (IF((T4+T5) &lt;= Parametros!$A$6, Parametros!$B$6, Parametros!$B$7))   ))   )))  +
IF((T4+T5) &lt;= Parametros!$A$3, Parametros!$C$3, (IF((T4+T5) &lt;= Parametros!$A$4, Parametros!$C$4,   (IF((T4+T5) &lt;= Parametros!$A$5, Parametros!$C$5,    (IF((T4+T5) &lt;= Parametros!$A$6, Parametros!$C$6, Parametros!$C$7))   ))   )))</f>
        <v>0</v>
      </c>
      <c r="U11" s="36">
        <f xml:space="preserve"> -1 * (U4+U5) *
IF((U4+U5) &lt;= Parametros!$A$3, Parametros!$B$3, (IF((U4+U5) &lt;= Parametros!$A$4, Parametros!$B$4,   (IF((U4+U5) &lt;= Parametros!$A$5, Parametros!$B$5,    (IF((U4+U5) &lt;= Parametros!$A$6, Parametros!$B$6, Parametros!$B$7))   ))   )))  +
IF((U4+U5) &lt;= Parametros!$A$3, Parametros!$C$3, (IF((U4+U5) &lt;= Parametros!$A$4, Parametros!$C$4,   (IF((U4+U5) &lt;= Parametros!$A$5, Parametros!$C$5,    (IF((U4+U5) &lt;= Parametros!$A$6, Parametros!$C$6, Parametros!$C$7))   ))   )))</f>
        <v>0</v>
      </c>
      <c r="V11" s="36">
        <f xml:space="preserve"> -1 * (V4+V5) *
IF((V4+V5) &lt;= Parametros!$A$3, Parametros!$B$3, (IF((V4+V5) &lt;= Parametros!$A$4, Parametros!$B$4,   (IF((V4+V5) &lt;= Parametros!$A$5, Parametros!$B$5,    (IF((V4+V5) &lt;= Parametros!$A$6, Parametros!$B$6, Parametros!$B$7))   ))   )))  +
IF((V4+V5) &lt;= Parametros!$A$3, Parametros!$C$3, (IF((V4+V5) &lt;= Parametros!$A$4, Parametros!$C$4,   (IF((V4+V5) &lt;= Parametros!$A$5, Parametros!$C$5,    (IF((V4+V5) &lt;= Parametros!$A$6, Parametros!$C$6, Parametros!$C$7))   ))   )))</f>
        <v>0</v>
      </c>
      <c r="W11" s="36">
        <f xml:space="preserve"> -1 * (W4+W5) *
IF((W4+W5) &lt;= Parametros!$A$3, Parametros!$B$3, (IF((W4+W5) &lt;= Parametros!$A$4, Parametros!$B$4,   (IF((W4+W5) &lt;= Parametros!$A$5, Parametros!$B$5,    (IF((W4+W5) &lt;= Parametros!$A$6, Parametros!$B$6, Parametros!$B$7))   ))   )))  +
IF((W4+W5) &lt;= Parametros!$A$3, Parametros!$C$3, (IF((W4+W5) &lt;= Parametros!$A$4, Parametros!$C$4,   (IF((W4+W5) &lt;= Parametros!$A$5, Parametros!$C$5,    (IF((W4+W5) &lt;= Parametros!$A$6, Parametros!$C$6, Parametros!$C$7))   ))   )))</f>
        <v>0</v>
      </c>
      <c r="X11" s="36">
        <f xml:space="preserve"> -1 * (X4+X5) *
IF((X4+X5) &lt;= Parametros!$A$3, Parametros!$B$3, (IF((X4+X5) &lt;= Parametros!$A$4, Parametros!$B$4,   (IF((X4+X5) &lt;= Parametros!$A$5, Parametros!$B$5,    (IF((X4+X5) &lt;= Parametros!$A$6, Parametros!$B$6, Parametros!$B$7))   ))   )))  +
IF((X4+X5) &lt;= Parametros!$A$3, Parametros!$C$3, (IF((X4+X5) &lt;= Parametros!$A$4, Parametros!$C$4,   (IF((X4+X5) &lt;= Parametros!$A$5, Parametros!$C$5,    (IF((X4+X5) &lt;= Parametros!$A$6, Parametros!$C$6, Parametros!$C$7))   ))   )))</f>
        <v>0</v>
      </c>
      <c r="Y11" s="36">
        <f xml:space="preserve"> -1 * (Y4+Y5) *
IF((Y4+Y5) &lt;= Parametros!$A$3, Parametros!$B$3, (IF((Y4+Y5) &lt;= Parametros!$A$4, Parametros!$B$4,   (IF((Y4+Y5) &lt;= Parametros!$A$5, Parametros!$B$5,    (IF((Y4+Y5) &lt;= Parametros!$A$6, Parametros!$B$6, Parametros!$B$7))   ))   )))  +
IF((Y4+Y5) &lt;= Parametros!$A$3, Parametros!$C$3, (IF((Y4+Y5) &lt;= Parametros!$A$4, Parametros!$C$4,   (IF((Y4+Y5) &lt;= Parametros!$A$5, Parametros!$C$5,    (IF((Y4+Y5) &lt;= Parametros!$A$6, Parametros!$C$6, Parametros!$C$7))   ))   )))</f>
        <v>0</v>
      </c>
    </row>
    <row r="16" spans="1:25" s="13" customFormat="1" ht="18.75" customHeight="1" x14ac:dyDescent="0.25">
      <c r="A16" s="46" t="s">
        <v>12</v>
      </c>
      <c r="B16" s="46"/>
      <c r="E16" s="46" t="s">
        <v>31</v>
      </c>
      <c r="F16" s="46"/>
    </row>
    <row r="17" spans="1:7" ht="17.25" customHeight="1" x14ac:dyDescent="0.25">
      <c r="A17" s="17" t="s">
        <v>13</v>
      </c>
      <c r="B17" s="21">
        <f>SUM(B4:M4) + SUM(B5:M5)</f>
        <v>29718.62</v>
      </c>
      <c r="E17" s="27" t="s">
        <v>27</v>
      </c>
      <c r="F17" s="9">
        <f>-B21 + -B29</f>
        <v>4129.5</v>
      </c>
    </row>
    <row r="18" spans="1:7" ht="17.25" customHeight="1" x14ac:dyDescent="0.25">
      <c r="A18" s="17" t="s">
        <v>14</v>
      </c>
      <c r="B18" s="18">
        <f>IF(rendTributaveis/12 &lt;= Parametros!$A$3, Parametros!$B$3, (IF(rendTributaveis/12 &lt;= Parametros!$A$4, Parametros!$B$4,   (IF(rendTributaveis/12 &lt;= Parametros!$A$5, Parametros!$B$5,    (IF(rendTributaveis/12 &lt;= Parametros!$A$6, Parametros!$B$6, Parametros!$B$7))   ))   )))</f>
        <v>7.4999999999999997E-2</v>
      </c>
      <c r="E18" s="27" t="s">
        <v>28</v>
      </c>
      <c r="F18" s="9">
        <f>-SUM(B10:Y10)</f>
        <v>13904</v>
      </c>
    </row>
    <row r="19" spans="1:7" ht="17.25" customHeight="1" thickBot="1" x14ac:dyDescent="0.3">
      <c r="A19" s="17" t="s">
        <v>15</v>
      </c>
      <c r="B19" s="22">
        <f>IF(rendTributaveis/12 &lt;= Parametros!$A$3, Parametros!$C$3, (IF(rendTributaveis/12 &lt;= Parametros!$A$4, Parametros!$C$4,   (IF(rendTributaveis/12 &lt;= Parametros!$A$5, Parametros!$C$5,    (IF(rendTributaveis/12 &lt;= Parametros!$A$6, Parametros!$C$6, Parametros!$C$7))   ))   )))</f>
        <v>142.80000000000001</v>
      </c>
      <c r="E19" s="27" t="s">
        <v>7</v>
      </c>
      <c r="F19" s="9">
        <f>-SUM(B5:Y5)</f>
        <v>3604.0000000000027</v>
      </c>
    </row>
    <row r="20" spans="1:7" ht="17.25" customHeight="1" thickTop="1" thickBot="1" x14ac:dyDescent="0.3">
      <c r="A20" s="17" t="s">
        <v>32</v>
      </c>
      <c r="B20" s="22"/>
      <c r="E20" s="28" t="s">
        <v>29</v>
      </c>
      <c r="F20" s="29">
        <f>F17+F18+F19</f>
        <v>21637.500000000004</v>
      </c>
      <c r="G20" s="37">
        <f>impostoTotal/SUM(B2:Y2)</f>
        <v>0.10483284883720932</v>
      </c>
    </row>
    <row r="21" spans="1:7" ht="15.75" thickTop="1" x14ac:dyDescent="0.25">
      <c r="A21" s="17" t="s">
        <v>24</v>
      </c>
      <c r="B21" s="22">
        <f>-rendTributaveis*B18 + B19</f>
        <v>-2086.0964999999997</v>
      </c>
    </row>
    <row r="24" spans="1:7" ht="15.75" x14ac:dyDescent="0.25">
      <c r="A24" s="46" t="s">
        <v>30</v>
      </c>
      <c r="B24" s="46"/>
    </row>
    <row r="25" spans="1:7" x14ac:dyDescent="0.25">
      <c r="A25" s="17" t="s">
        <v>13</v>
      </c>
      <c r="B25" s="21">
        <f>SUM(N4:Y4) + SUM(N5:Y5)</f>
        <v>29149.38</v>
      </c>
    </row>
    <row r="26" spans="1:7" x14ac:dyDescent="0.25">
      <c r="A26" s="17" t="s">
        <v>14</v>
      </c>
      <c r="B26" s="18">
        <f>IF(rendTributaveis2019/12 &lt;= Parametros!$A$3, Parametros!$B$3, (IF(rendTributaveis2019/12 &lt;= Parametros!$A$4, Parametros!$B$4,   (IF(rendTributaveis2019/12 &lt;= Parametros!$A$5, Parametros!$B$5,    (IF(rendTributaveis2019/12 &lt;= Parametros!$A$6, Parametros!$B$6, Parametros!$B$7))   ))   )))</f>
        <v>7.4999999999999997E-2</v>
      </c>
    </row>
    <row r="27" spans="1:7" x14ac:dyDescent="0.25">
      <c r="A27" s="17" t="s">
        <v>15</v>
      </c>
      <c r="B27" s="22">
        <f>IF(rendTributaveis2019/12 &lt;= Parametros!$A$3, Parametros!$C$3, (IF(rendTributaveis2019/12 &lt;= Parametros!$A$4, Parametros!$C$4,   (IF(rendTributaveis2019/12 &lt;= Parametros!$A$5, Parametros!$C$5,    (IF(rendTributaveis2019/12 &lt;= Parametros!$A$6, Parametros!$C$6, Parametros!$C$7))   ))   )))</f>
        <v>142.80000000000001</v>
      </c>
    </row>
    <row r="28" spans="1:7" x14ac:dyDescent="0.25">
      <c r="A28" s="17" t="s">
        <v>32</v>
      </c>
      <c r="B28" s="22"/>
    </row>
    <row r="29" spans="1:7" x14ac:dyDescent="0.25">
      <c r="A29" s="17" t="s">
        <v>24</v>
      </c>
      <c r="B29" s="22">
        <f>-rendTributaveis2019*B26 + B27</f>
        <v>-2043.4035000000001</v>
      </c>
    </row>
  </sheetData>
  <scenarios current="2" show="2">
    <scenario name="Pro Labore Piso" locked="1" count="24" user="André Aranha" comment="Criado por André Aranha em 28/02/2018">
      <inputCells r="B4" val="965" numFmtId="4"/>
      <inputCells r="C4" val="965" numFmtId="4"/>
      <inputCells r="D4" val="965" numFmtId="4"/>
      <inputCells r="E4" val="965" numFmtId="4"/>
      <inputCells r="F4" val="965" numFmtId="4"/>
      <inputCells r="G4" val="965" numFmtId="4"/>
      <inputCells r="H4" val="965" numFmtId="4"/>
      <inputCells r="I4" val="965" numFmtId="4"/>
      <inputCells r="J4" val="965" numFmtId="4"/>
      <inputCells r="K4" val="965" numFmtId="4"/>
      <inputCells r="L4" val="965" numFmtId="4"/>
      <inputCells r="M4" val="965" numFmtId="4"/>
      <inputCells r="N4" val="965" numFmtId="4"/>
      <inputCells r="O4" val="965" numFmtId="4"/>
      <inputCells r="P4" val="965" numFmtId="4"/>
      <inputCells r="Q4" val="965" numFmtId="4"/>
      <inputCells r="R4" val="965" numFmtId="4"/>
      <inputCells r="S4" val="965" numFmtId="4"/>
      <inputCells r="T4" val="965" numFmtId="4"/>
      <inputCells r="U4" val="965" numFmtId="4"/>
      <inputCells r="V4" val="965" numFmtId="4"/>
      <inputCells r="W4" val="965" numFmtId="4"/>
      <inputCells r="X4" val="965" numFmtId="4"/>
      <inputCells r="Y4" val="965" numFmtId="4"/>
    </scenario>
    <scenario name="Pro Labore 0" locked="1" count="24" user="André Aranha" comment="Criado por André Aranha em 28/02/2018">
      <inputCells r="B4" val=""/>
      <inputCells r="C4" val=""/>
      <inputCells r="D4" val=""/>
      <inputCells r="E4" val=""/>
      <inputCells r="F4" val=""/>
      <inputCells r="G4" val=""/>
      <inputCells r="H4" val=""/>
      <inputCells r="I4" val=""/>
      <inputCells r="J4" val=""/>
      <inputCells r="K4" val=""/>
      <inputCells r="L4" val=""/>
      <inputCells r="M4" val=""/>
      <inputCells r="N4" val=""/>
      <inputCells r="O4" val=""/>
      <inputCells r="P4" val=""/>
      <inputCells r="Q4" val=""/>
      <inputCells r="R4" val=""/>
      <inputCells r="S4" val=""/>
      <inputCells r="T4" val=""/>
      <inputCells r="U4" val=""/>
      <inputCells r="V4" val=""/>
      <inputCells r="W4" val=""/>
      <inputCells r="X4" val=""/>
      <inputCells r="Y4" val=""/>
    </scenario>
    <scenario name="Bica em Fevereiro" locked="1" count="24" user="André Aranha" comment="Criado por André Aranha em 28/02/2018">
      <inputCells r="B4" val=""/>
      <inputCells r="C4" val="20500" numFmtId="4"/>
      <inputCells r="D4" val="1200" numFmtId="4"/>
      <inputCells r="E4" val="965"/>
      <inputCells r="F4" val="965"/>
      <inputCells r="G4" val="965"/>
      <inputCells r="H4" val="965"/>
      <inputCells r="I4" val="965"/>
      <inputCells r="J4" val="965"/>
      <inputCells r="K4" val="965"/>
      <inputCells r="L4" val="965"/>
      <inputCells r="M4" val="965"/>
      <inputCells r="N4" val="19000" numFmtId="4"/>
      <inputCells r="O4" val="965"/>
      <inputCells r="P4" val="965"/>
      <inputCells r="Q4" val="965"/>
      <inputCells r="R4" val="965"/>
      <inputCells r="S4" val="965"/>
      <inputCells r="T4" val="965"/>
      <inputCells r="U4" val="965"/>
      <inputCells r="V4" val="965"/>
      <inputCells r="W4" val="965"/>
      <inputCells r="X4" val="965"/>
      <inputCells r="Y4" val="965"/>
    </scenario>
    <scenario name="Bica em Fevereiro/Março" locked="1" count="24" user="André Aranha" comment="Criado por André Aranha em 28/02/2018">
      <inputCells r="B4" val=""/>
      <inputCells r="C4" val="10500" numFmtId="4"/>
      <inputCells r="D4" val="10750" numFmtId="4"/>
      <inputCells r="E4" val="965"/>
      <inputCells r="F4" val="965"/>
      <inputCells r="G4" val="965"/>
      <inputCells r="H4" val="965"/>
      <inputCells r="I4" val="965"/>
      <inputCells r="J4" val="965"/>
      <inputCells r="K4" val="965"/>
      <inputCells r="L4" val="965"/>
      <inputCells r="M4" val="965"/>
      <inputCells r="N4" val="19000" numFmtId="4"/>
      <inputCells r="O4" val="965"/>
      <inputCells r="P4" val="965"/>
      <inputCells r="Q4" val="965"/>
      <inputCells r="R4" val="965"/>
      <inputCells r="S4" val="965"/>
      <inputCells r="T4" val="965"/>
      <inputCells r="U4" val="965"/>
      <inputCells r="V4" val="965"/>
      <inputCells r="W4" val="965"/>
      <inputCells r="X4" val="965"/>
      <inputCells r="Y4" val="965"/>
    </scenario>
  </scenarios>
  <mergeCells count="3">
    <mergeCell ref="A16:B16"/>
    <mergeCell ref="E16:F16"/>
    <mergeCell ref="A24:B24"/>
  </mergeCells>
  <conditionalFormatting sqref="B8:Y8">
    <cfRule type="cellIs" dxfId="1" priority="1" operator="greaterThan">
      <formula>28%</formula>
    </cfRule>
    <cfRule type="cellIs" dxfId="0" priority="2" operator="lessThan">
      <formula>0.28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7</vt:i4>
      </vt:variant>
    </vt:vector>
  </HeadingPairs>
  <TitlesOfParts>
    <vt:vector size="11" baseType="lpstr">
      <vt:lpstr>Parametros</vt:lpstr>
      <vt:lpstr>LEIA-ME</vt:lpstr>
      <vt:lpstr>Histórico 12 Meses</vt:lpstr>
      <vt:lpstr>Variáveis PJ e PF</vt:lpstr>
      <vt:lpstr>impostoTotal</vt:lpstr>
      <vt:lpstr>InssPatronal</vt:lpstr>
      <vt:lpstr>inssTeto</vt:lpstr>
      <vt:lpstr>rendTributaveis</vt:lpstr>
      <vt:lpstr>rendTributaveis2019</vt:lpstr>
      <vt:lpstr>salarioMinimo</vt:lpstr>
      <vt:lpstr>tabelaIRPF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Aranha</dc:creator>
  <cp:lastModifiedBy>André Aranha</cp:lastModifiedBy>
  <dcterms:created xsi:type="dcterms:W3CDTF">2018-02-18T18:43:30Z</dcterms:created>
  <dcterms:modified xsi:type="dcterms:W3CDTF">2020-04-25T17:22:49Z</dcterms:modified>
</cp:coreProperties>
</file>